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bccd-my.sharepoint.com/personal/chuston_sbccd_cc_ca_us/Documents/A&amp;O Committee SP21/"/>
    </mc:Choice>
  </mc:AlternateContent>
  <workbookProtection workbookAlgorithmName="SHA-512" workbookHashValue="ty7VFWO1V8ZxorFYGm3O0zBSr1ov4kIZ3VfXCrcs9vMNPWjUZHfwOE4UFMElMNmVCMjyz+rh1Dm8x4A5fTZdzQ==" workbookSaltValue="9zEuigHV2ikP69+V8AuvDw==" workbookSpinCount="100000" lockStructure="1"/>
  <bookViews>
    <workbookView xWindow="-27975" yWindow="3540" windowWidth="25530" windowHeight="14655"/>
  </bookViews>
  <sheets>
    <sheet name="ISS" sheetId="5" r:id="rId1"/>
    <sheet name="2021 ISS All" sheetId="2" r:id="rId2"/>
    <sheet name="ISS Missed or Exceeded" sheetId="4"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4" l="1"/>
  <c r="I5" i="4"/>
  <c r="F15" i="4"/>
  <c r="E15" i="4"/>
  <c r="D15" i="4"/>
  <c r="C15" i="4"/>
  <c r="F14" i="4"/>
  <c r="E14" i="4"/>
  <c r="D14" i="4"/>
  <c r="C14" i="4"/>
  <c r="F13" i="4"/>
  <c r="E13" i="4"/>
  <c r="D13" i="4"/>
  <c r="C13" i="4"/>
  <c r="J4" i="4"/>
  <c r="I4" i="4"/>
  <c r="J12" i="4"/>
  <c r="K12" i="4" s="1"/>
  <c r="I12" i="4"/>
  <c r="J11" i="4"/>
  <c r="I11" i="4"/>
  <c r="J10" i="4"/>
  <c r="I10" i="4"/>
  <c r="F3" i="4"/>
  <c r="E3" i="4"/>
  <c r="D3" i="4"/>
  <c r="C3" i="4"/>
  <c r="J3" i="4" l="1"/>
  <c r="I14" i="4"/>
  <c r="I15" i="4"/>
  <c r="K5" i="4"/>
  <c r="M10" i="4"/>
  <c r="K10" i="4"/>
  <c r="M11" i="4"/>
  <c r="M4" i="4"/>
  <c r="L11" i="4"/>
  <c r="L4" i="4"/>
  <c r="J13" i="4"/>
  <c r="I3" i="4"/>
  <c r="M3" i="4" s="1"/>
  <c r="M12" i="4"/>
  <c r="J14" i="4"/>
  <c r="L14" i="4" s="1"/>
  <c r="M5" i="4"/>
  <c r="J15" i="4"/>
  <c r="M15" i="4" s="1"/>
  <c r="L5" i="4"/>
  <c r="K14" i="4"/>
  <c r="I13" i="4"/>
  <c r="K4" i="4"/>
  <c r="L12" i="4"/>
  <c r="L10" i="4"/>
  <c r="K11" i="4"/>
  <c r="J22" i="2"/>
  <c r="I22" i="2"/>
  <c r="M22" i="2" s="1"/>
  <c r="J21" i="2"/>
  <c r="I21" i="2"/>
  <c r="L21" i="2" s="1"/>
  <c r="J20" i="2"/>
  <c r="I20" i="2"/>
  <c r="M20" i="2" s="1"/>
  <c r="F19" i="2"/>
  <c r="J19" i="2" s="1"/>
  <c r="E19" i="2"/>
  <c r="D19" i="2"/>
  <c r="C19" i="2"/>
  <c r="F18" i="2"/>
  <c r="I18" i="2" s="1"/>
  <c r="E18" i="2"/>
  <c r="D18" i="2"/>
  <c r="C18" i="2"/>
  <c r="J18" i="2" s="1"/>
  <c r="J17" i="2"/>
  <c r="I17" i="2"/>
  <c r="K17" i="2" s="1"/>
  <c r="F16" i="2"/>
  <c r="E16" i="2"/>
  <c r="I16" i="2" s="1"/>
  <c r="D16" i="2"/>
  <c r="C16" i="2"/>
  <c r="J16" i="2" s="1"/>
  <c r="J15" i="2"/>
  <c r="F15" i="2"/>
  <c r="I15" i="2" s="1"/>
  <c r="E15" i="2"/>
  <c r="D15" i="2"/>
  <c r="C15" i="2"/>
  <c r="F14" i="2"/>
  <c r="J14" i="2" s="1"/>
  <c r="E14" i="2"/>
  <c r="D14" i="2"/>
  <c r="C14" i="2"/>
  <c r="J13" i="2"/>
  <c r="I13" i="2"/>
  <c r="K13" i="2" s="1"/>
  <c r="J12" i="2"/>
  <c r="I12" i="2"/>
  <c r="M12" i="2" s="1"/>
  <c r="J11" i="2"/>
  <c r="I11" i="2"/>
  <c r="M11" i="2" s="1"/>
  <c r="K10" i="2"/>
  <c r="J10" i="2"/>
  <c r="I10" i="2"/>
  <c r="L10" i="2" s="1"/>
  <c r="M9" i="2"/>
  <c r="J9" i="2"/>
  <c r="I9" i="2"/>
  <c r="L9" i="2" s="1"/>
  <c r="J8" i="2"/>
  <c r="M8" i="2" s="1"/>
  <c r="I8" i="2"/>
  <c r="J7" i="2"/>
  <c r="I7" i="2"/>
  <c r="L7" i="2" s="1"/>
  <c r="J6" i="2"/>
  <c r="I6" i="2"/>
  <c r="M6" i="2" s="1"/>
  <c r="J5" i="2"/>
  <c r="I5" i="2"/>
  <c r="M5" i="2" s="1"/>
  <c r="F4" i="2"/>
  <c r="E4" i="2"/>
  <c r="I4" i="2" s="1"/>
  <c r="D4" i="2"/>
  <c r="C4" i="2"/>
  <c r="J3" i="2"/>
  <c r="M3" i="2" s="1"/>
  <c r="I3" i="2"/>
  <c r="L3" i="2" s="1"/>
  <c r="M2" i="2"/>
  <c r="L2" i="2"/>
  <c r="J2" i="2"/>
  <c r="I2" i="2"/>
  <c r="K2" i="2" s="1"/>
  <c r="M14" i="4" l="1"/>
  <c r="K3" i="4"/>
  <c r="L15" i="4"/>
  <c r="L3" i="4"/>
  <c r="K15" i="4"/>
  <c r="K13" i="4"/>
  <c r="M13" i="4"/>
  <c r="L13" i="4"/>
  <c r="K16" i="2"/>
  <c r="L16" i="2"/>
  <c r="M16" i="2"/>
  <c r="K15" i="2"/>
  <c r="L15" i="2"/>
  <c r="M15" i="2"/>
  <c r="L4" i="2"/>
  <c r="M18" i="2"/>
  <c r="L18" i="2"/>
  <c r="K18" i="2"/>
  <c r="J4" i="2"/>
  <c r="K4" i="2" s="1"/>
  <c r="L11" i="2"/>
  <c r="K5" i="2"/>
  <c r="L5" i="2"/>
  <c r="L12" i="2"/>
  <c r="L17" i="2"/>
  <c r="K7" i="2"/>
  <c r="L22" i="2"/>
  <c r="M7" i="2"/>
  <c r="M10" i="2"/>
  <c r="L20" i="2"/>
  <c r="K21" i="2"/>
  <c r="K6" i="2"/>
  <c r="L13" i="2"/>
  <c r="K22" i="2"/>
  <c r="M13" i="2"/>
  <c r="M17" i="2"/>
  <c r="I14" i="2"/>
  <c r="K8" i="2"/>
  <c r="L8" i="2"/>
  <c r="M21" i="2"/>
  <c r="K20" i="2"/>
  <c r="K12" i="2"/>
  <c r="L6" i="2"/>
  <c r="K3" i="2"/>
  <c r="K11" i="2"/>
  <c r="K9" i="2"/>
  <c r="I19" i="2"/>
  <c r="M14" i="2" l="1"/>
  <c r="L14" i="2"/>
  <c r="K14" i="2"/>
  <c r="M4" i="2"/>
  <c r="K19" i="2"/>
  <c r="M19" i="2"/>
  <c r="L19" i="2"/>
</calcChain>
</file>

<file path=xl/sharedStrings.xml><?xml version="1.0" encoding="utf-8"?>
<sst xmlns="http://schemas.openxmlformats.org/spreadsheetml/2006/main" count="145" uniqueCount="81">
  <si>
    <t>source</t>
  </si>
  <si>
    <t>2014-2015</t>
  </si>
  <si>
    <t>2015-16</t>
  </si>
  <si>
    <t>2016-17</t>
  </si>
  <si>
    <t>2017-18</t>
  </si>
  <si>
    <t>2018-19</t>
  </si>
  <si>
    <t>2019-20</t>
  </si>
  <si>
    <t>mean</t>
  </si>
  <si>
    <t>st dev</t>
  </si>
  <si>
    <t>ISS</t>
  </si>
  <si>
    <t>Goal</t>
  </si>
  <si>
    <t>Strtetch Goal</t>
  </si>
  <si>
    <t>Course completion</t>
  </si>
  <si>
    <t>EIS</t>
  </si>
  <si>
    <t xml:space="preserve">Course retention </t>
  </si>
  <si>
    <t>* Enrollment after application</t>
  </si>
  <si>
    <t>Ccertifictes awarded</t>
  </si>
  <si>
    <t>cccco</t>
  </si>
  <si>
    <t>AAT</t>
  </si>
  <si>
    <t>AST</t>
  </si>
  <si>
    <t>degrees awarded (total)</t>
  </si>
  <si>
    <t>chancellor</t>
  </si>
  <si>
    <t>In-state private</t>
  </si>
  <si>
    <t>Out-of-state</t>
  </si>
  <si>
    <t>Transfers to CSU</t>
  </si>
  <si>
    <t xml:space="preserve">Transfers to UC </t>
  </si>
  <si>
    <t>Total Transfers</t>
  </si>
  <si>
    <t>Transfer level math within the first year</t>
  </si>
  <si>
    <t>cal-pass</t>
  </si>
  <si>
    <t>Transfer level English within the frist year</t>
  </si>
  <si>
    <t>Complete both transfer level math and English</t>
  </si>
  <si>
    <t>Average Number of Units Accumulated by Associate Degree Earners</t>
  </si>
  <si>
    <t>Successfully Completed Unit Thresholds in the Academic Year (12+ units)</t>
  </si>
  <si>
    <t>Retained from Fall to Spring</t>
  </si>
  <si>
    <t>Attained the Living Wage, Year the Student Exited</t>
  </si>
  <si>
    <t>Nursing</t>
  </si>
  <si>
    <t>Psych Tech</t>
  </si>
  <si>
    <t>Metric</t>
  </si>
  <si>
    <t>Underlying Causes</t>
  </si>
  <si>
    <t>Recommended Action</t>
  </si>
  <si>
    <t>COVID-19</t>
  </si>
  <si>
    <t>DID NOT MEET ISS</t>
  </si>
  <si>
    <t>EXCEEDED STRETCH GOAL</t>
  </si>
  <si>
    <t>AB 705, SSI, New Curriculum</t>
  </si>
  <si>
    <t>SBVC Transfers to CSU are only 9 over the Stretch Goal. Monitor for 1 year to see if SBVC exceeds their stretch goal next year.</t>
  </si>
  <si>
    <t>AAT exceeded Stretch Goal by 47. Monitor for 1 year lower enrollment in 2020-2021 due to COVID-19 may impact SBVC's ability to meet ISS next academic year.</t>
  </si>
  <si>
    <t>AST exceeded Stretch Goals  46. Monitor for 1 year lower enrollment in 2020-2021 due to COVID-19 may impact SBVC's ability to meet ISS next academic year.</t>
  </si>
  <si>
    <t>A &amp; O Committee Recommended Action</t>
  </si>
  <si>
    <t>Course Retention</t>
  </si>
  <si>
    <t>COVID-19; Change in CCCCO Data Collection - Data skewed Students applying to receive services</t>
  </si>
  <si>
    <t>Number of students who enroll in SBVC after applying is 7.8% lower than the ISS.  TESS working to block email access for non-students;  Observe data changes as economy recovers and pandemic ends.</t>
  </si>
  <si>
    <t>COVID-19; Fall off in enrollment to for-profit schools. Several for-profit schools that have ceased operations.</t>
  </si>
  <si>
    <t>Research Team: expand ISS to include gender and ethnicity</t>
  </si>
  <si>
    <t>Psych Tech - Licensure Rate</t>
  </si>
  <si>
    <t>COVID-19 Transition to manditory fully online enviornment mid-semester</t>
  </si>
  <si>
    <t>Observe data changes as economy recovers and pandemic ends and SBVC returns to campus.</t>
  </si>
  <si>
    <t>Increase due to SBVC increasing the number of AAT's and students are coming out of the pipeline. SCFF focues on certificate and degree completion. Required for transfer to Cal State. Degree planner in Starfish</t>
  </si>
  <si>
    <t>Increase due to SBVC increasing the number of AST's and students are coming out of the pipeline. SCFF focues on certificate and degree completion. Required for transfer to Cal State. Degree planner in Starfish</t>
  </si>
  <si>
    <t>In future analyze data to compare drop in enrollment with drop in degree/certificates</t>
  </si>
  <si>
    <t>Increased 3x over; Still 91% of student who began and didn't pass. Focus on how to aid students who are still struggling.</t>
  </si>
  <si>
    <t>Still a large percentage of student who began and didn't pass. Focus on how to aid students who are still struggling.</t>
  </si>
  <si>
    <t xml:space="preserve">Still a large percentage of student who began and didn't pass. Focus on how to aid students who are still struggling. Note: Also will increase the number of students who complete without going over 91 units. </t>
  </si>
  <si>
    <t xml:space="preserve">Number of student transfers to In-state private universities is 4 below the ISS; TESS working to block email access for non-students;  Observe data changes as economy recovers and pandemic ends. Encourage student to go to public schools. Is it possible to check enrollment at private institution and see if their enrollment is down. </t>
  </si>
  <si>
    <t>Psych Tech -Licensure Rate only fell 1% below ISS; PSYCH Tech has traditionally high success and employment rates. Student experienced difficullty due to COVID . Students could not do clinicals; No one-on-one with instructors; New Curriculum for Licensure Exam prep. Recently increased minimum quals</t>
  </si>
  <si>
    <t>LEVEL</t>
  </si>
  <si>
    <t>DEFINITION</t>
  </si>
  <si>
    <t>ACTIONS</t>
  </si>
  <si>
    <t>FLOOR</t>
  </si>
  <si>
    <t xml:space="preserve">More than One (1) Standard Deviation Below the Three (3) Year Average </t>
  </si>
  <si>
    <t>Triggers Investigation</t>
  </si>
  <si>
    <r>
      <t>•</t>
    </r>
    <r>
      <rPr>
        <sz val="18"/>
        <color rgb="FF000000"/>
        <rFont val="Calibri"/>
      </rPr>
      <t>Outside Factors</t>
    </r>
  </si>
  <si>
    <r>
      <t>•</t>
    </r>
    <r>
      <rPr>
        <sz val="18"/>
        <color rgb="FF000000"/>
        <rFont val="Calibri"/>
      </rPr>
      <t>Interventions</t>
    </r>
  </si>
  <si>
    <t>GOAL</t>
  </si>
  <si>
    <t>Equal to One (1) Standard Deviation Above the Three (3) Year Average</t>
  </si>
  <si>
    <t>Monitor</t>
  </si>
  <si>
    <t>STRETCH GOAL</t>
  </si>
  <si>
    <t>Greater than or Equal to One and One Half (1.5) Standard Deviation Above the Three (3) Year Average</t>
  </si>
  <si>
    <t>Triggers Analysis</t>
  </si>
  <si>
    <r>
      <t>•</t>
    </r>
    <r>
      <rPr>
        <sz val="18"/>
        <color rgb="FF000000"/>
        <rFont val="Calibri"/>
      </rPr>
      <t>Sustainable?</t>
    </r>
  </si>
  <si>
    <r>
      <t>•</t>
    </r>
    <r>
      <rPr>
        <sz val="18"/>
        <color rgb="FF000000"/>
        <rFont val="Calibri"/>
      </rPr>
      <t>Replicable?</t>
    </r>
  </si>
  <si>
    <t>SBVC Institution Set-Standards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</si>
</sst>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color rgb="FF444444"/>
      <name val="Calibri"/>
      <family val="2"/>
      <charset val="1"/>
    </font>
    <font>
      <b/>
      <sz val="12"/>
      <color theme="1"/>
      <name val="Calibri"/>
      <family val="2"/>
      <scheme val="minor"/>
    </font>
    <font>
      <sz val="18"/>
      <name val="Arial"/>
    </font>
    <font>
      <sz val="18"/>
      <color rgb="FF000000"/>
      <name val="Calibri"/>
    </font>
    <font>
      <b/>
      <sz val="20"/>
      <color theme="1"/>
      <name val="Calibri"/>
      <family val="2"/>
      <scheme val="minor"/>
    </font>
  </fonts>
  <fills count="14">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theme="4"/>
      </patternFill>
    </fill>
    <fill>
      <patternFill patternType="solid">
        <fgColor theme="5" tint="0.79998168889431442"/>
        <bgColor indexed="64"/>
      </patternFill>
    </fill>
    <fill>
      <patternFill patternType="solid">
        <fgColor theme="7" tint="0.79998168889431442"/>
        <bgColor theme="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theme="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
    <xf numFmtId="0" fontId="0" fillId="0" borderId="0"/>
    <xf numFmtId="9" fontId="1" fillId="0" borderId="0" applyFont="0" applyFill="0" applyBorder="0" applyAlignment="0" applyProtection="0"/>
  </cellStyleXfs>
  <cellXfs count="159">
    <xf numFmtId="0" fontId="0" fillId="0" borderId="0" xfId="0"/>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0" fillId="3" borderId="4" xfId="0" applyFill="1" applyBorder="1" applyAlignment="1">
      <alignment horizontal="left" vertical="center" wrapText="1"/>
    </xf>
    <xf numFmtId="0" fontId="0" fillId="3" borderId="4" xfId="0" applyFill="1" applyBorder="1" applyAlignment="1">
      <alignment horizontal="center" vertical="center" wrapText="1"/>
    </xf>
    <xf numFmtId="2" fontId="0" fillId="3" borderId="4" xfId="0" applyNumberFormat="1" applyFill="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10" fontId="0" fillId="0" borderId="4" xfId="0" applyNumberFormat="1" applyBorder="1" applyAlignment="1">
      <alignment horizontal="center" vertical="center"/>
    </xf>
    <xf numFmtId="0" fontId="0" fillId="4" borderId="4" xfId="0" applyFill="1" applyBorder="1" applyAlignment="1">
      <alignment horizontal="center" vertical="center" wrapText="1"/>
    </xf>
    <xf numFmtId="1" fontId="0" fillId="0" borderId="4" xfId="0" applyNumberFormat="1" applyBorder="1" applyAlignment="1">
      <alignment horizontal="center" vertical="center"/>
    </xf>
    <xf numFmtId="1" fontId="0" fillId="0" borderId="4" xfId="0" applyNumberFormat="1" applyBorder="1" applyAlignment="1">
      <alignment horizontal="center" vertical="center" wrapText="1"/>
    </xf>
    <xf numFmtId="2" fontId="0" fillId="0" borderId="4" xfId="0" applyNumberFormat="1" applyBorder="1" applyAlignment="1">
      <alignment horizontal="center" vertical="center" wrapText="1"/>
    </xf>
    <xf numFmtId="1" fontId="0" fillId="3" borderId="4" xfId="0" applyNumberFormat="1" applyFill="1" applyBorder="1" applyAlignment="1">
      <alignment horizontal="center" vertical="center"/>
    </xf>
    <xf numFmtId="0" fontId="5" fillId="4" borderId="0" xfId="0" applyFont="1" applyFill="1" applyAlignment="1">
      <alignment wrapText="1"/>
    </xf>
    <xf numFmtId="1" fontId="0" fillId="4" borderId="4" xfId="0" applyNumberFormat="1" applyFill="1" applyBorder="1" applyAlignment="1">
      <alignment horizontal="center" vertical="center"/>
    </xf>
    <xf numFmtId="10" fontId="0" fillId="3" borderId="4"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64" fontId="0" fillId="0" borderId="0" xfId="0" applyNumberFormat="1"/>
    <xf numFmtId="0" fontId="0" fillId="3" borderId="4" xfId="0" applyFill="1" applyBorder="1" applyAlignment="1">
      <alignment wrapText="1"/>
    </xf>
    <xf numFmtId="165" fontId="0" fillId="0" borderId="0" xfId="0" applyNumberFormat="1"/>
    <xf numFmtId="2" fontId="0" fillId="0" borderId="4" xfId="0" applyNumberFormat="1" applyBorder="1" applyAlignment="1">
      <alignment horizontal="center" vertical="center"/>
    </xf>
    <xf numFmtId="9" fontId="0" fillId="3" borderId="4" xfId="1" applyFont="1" applyFill="1"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vertical="center" wrapText="1"/>
    </xf>
    <xf numFmtId="10" fontId="0" fillId="0" borderId="5" xfId="1" applyNumberFormat="1" applyFont="1" applyFill="1" applyBorder="1" applyAlignment="1">
      <alignment horizontal="center" vertical="center"/>
    </xf>
    <xf numFmtId="10" fontId="0" fillId="0" borderId="4" xfId="1" applyNumberFormat="1" applyFont="1" applyFill="1" applyBorder="1" applyAlignment="1">
      <alignment horizontal="center"/>
    </xf>
    <xf numFmtId="0" fontId="0" fillId="3" borderId="6" xfId="0" applyFill="1" applyBorder="1" applyAlignment="1">
      <alignment horizontal="left" vertical="center" wrapText="1"/>
    </xf>
    <xf numFmtId="0" fontId="0" fillId="3" borderId="6" xfId="0" applyFill="1" applyBorder="1" applyAlignment="1">
      <alignment horizontal="center" vertical="center" wrapText="1"/>
    </xf>
    <xf numFmtId="10" fontId="0" fillId="3" borderId="6" xfId="1" applyNumberFormat="1" applyFont="1" applyFill="1" applyBorder="1" applyAlignment="1">
      <alignment horizontal="center" vertical="center"/>
    </xf>
    <xf numFmtId="10" fontId="0" fillId="3" borderId="6" xfId="1" applyNumberFormat="1" applyFont="1" applyFill="1" applyBorder="1" applyAlignment="1">
      <alignment horizontal="center"/>
    </xf>
    <xf numFmtId="0" fontId="4" fillId="5" borderId="0" xfId="0" applyFont="1" applyFill="1" applyAlignment="1">
      <alignment horizontal="center" vertical="center"/>
    </xf>
    <xf numFmtId="2" fontId="0" fillId="5" borderId="4" xfId="0" applyNumberFormat="1" applyFill="1" applyBorder="1" applyAlignment="1">
      <alignment horizontal="center" vertical="center"/>
    </xf>
    <xf numFmtId="10" fontId="0" fillId="5" borderId="4" xfId="0" applyNumberFormat="1" applyFill="1" applyBorder="1" applyAlignment="1">
      <alignment horizontal="center" vertical="center"/>
    </xf>
    <xf numFmtId="1" fontId="0" fillId="5" borderId="4" xfId="0" applyNumberFormat="1" applyFill="1" applyBorder="1" applyAlignment="1">
      <alignment horizontal="center" vertical="center"/>
    </xf>
    <xf numFmtId="1" fontId="0" fillId="5" borderId="4" xfId="0" applyNumberFormat="1" applyFill="1" applyBorder="1" applyAlignment="1">
      <alignment horizontal="center" vertical="center" wrapText="1"/>
    </xf>
    <xf numFmtId="10" fontId="0" fillId="5" borderId="4" xfId="1" applyNumberFormat="1" applyFont="1" applyFill="1" applyBorder="1" applyAlignment="1">
      <alignment horizontal="center" vertical="center"/>
    </xf>
    <xf numFmtId="9" fontId="0" fillId="5" borderId="4" xfId="1" applyFont="1" applyFill="1" applyBorder="1" applyAlignment="1">
      <alignment horizontal="center" vertical="center"/>
    </xf>
    <xf numFmtId="10" fontId="0" fillId="5" borderId="5" xfId="1" applyNumberFormat="1" applyFont="1" applyFill="1" applyBorder="1" applyAlignment="1">
      <alignment horizontal="center" vertical="center"/>
    </xf>
    <xf numFmtId="2" fontId="0" fillId="7" borderId="4" xfId="0" applyNumberFormat="1" applyFill="1" applyBorder="1" applyAlignment="1">
      <alignment horizontal="center" vertical="center"/>
    </xf>
    <xf numFmtId="10" fontId="0" fillId="7" borderId="4" xfId="0" applyNumberFormat="1" applyFill="1" applyBorder="1" applyAlignment="1">
      <alignment horizontal="center" vertical="center"/>
    </xf>
    <xf numFmtId="1" fontId="0" fillId="7" borderId="4" xfId="0" applyNumberFormat="1" applyFill="1" applyBorder="1" applyAlignment="1">
      <alignment horizontal="center" vertical="center" wrapText="1"/>
    </xf>
    <xf numFmtId="1" fontId="0" fillId="7" borderId="4" xfId="0" applyNumberFormat="1" applyFill="1" applyBorder="1" applyAlignment="1">
      <alignment horizontal="center" vertical="center"/>
    </xf>
    <xf numFmtId="10" fontId="0" fillId="7" borderId="4" xfId="1" applyNumberFormat="1" applyFont="1" applyFill="1" applyBorder="1" applyAlignment="1">
      <alignment horizontal="center" vertical="center"/>
    </xf>
    <xf numFmtId="9" fontId="0" fillId="7" borderId="4" xfId="1" applyFont="1" applyFill="1" applyBorder="1" applyAlignment="1">
      <alignment horizontal="center" vertical="center"/>
    </xf>
    <xf numFmtId="10" fontId="0" fillId="7" borderId="5" xfId="1" applyNumberFormat="1" applyFont="1" applyFill="1" applyBorder="1" applyAlignment="1">
      <alignment horizontal="center" vertical="center"/>
    </xf>
    <xf numFmtId="10" fontId="0" fillId="7" borderId="6" xfId="1" applyNumberFormat="1" applyFont="1" applyFill="1" applyBorder="1" applyAlignment="1">
      <alignment horizontal="center" vertical="center"/>
    </xf>
    <xf numFmtId="0" fontId="6" fillId="6" borderId="2" xfId="0" applyFont="1" applyFill="1" applyBorder="1" applyAlignment="1">
      <alignment horizontal="center" vertical="center"/>
    </xf>
    <xf numFmtId="0" fontId="6" fillId="7" borderId="3" xfId="0" applyFont="1" applyFill="1" applyBorder="1" applyAlignment="1">
      <alignment horizontal="center" vertical="center"/>
    </xf>
    <xf numFmtId="0" fontId="3" fillId="8" borderId="0" xfId="0" applyFont="1" applyFill="1" applyAlignment="1">
      <alignment horizontal="center" vertical="center"/>
    </xf>
    <xf numFmtId="0" fontId="6" fillId="8" borderId="0" xfId="0" applyFont="1" applyFill="1" applyAlignment="1">
      <alignment horizontal="center" vertical="center"/>
    </xf>
    <xf numFmtId="10" fontId="0" fillId="5" borderId="6" xfId="1" applyNumberFormat="1" applyFont="1" applyFill="1" applyBorder="1" applyAlignment="1">
      <alignment horizontal="center"/>
    </xf>
    <xf numFmtId="0" fontId="0" fillId="3" borderId="5" xfId="0" applyFill="1" applyBorder="1" applyAlignment="1">
      <alignment horizontal="left" vertical="center" wrapText="1"/>
    </xf>
    <xf numFmtId="10" fontId="0" fillId="3" borderId="5" xfId="0" applyNumberFormat="1" applyFill="1" applyBorder="1" applyAlignment="1">
      <alignment horizontal="center" vertical="center"/>
    </xf>
    <xf numFmtId="10" fontId="0" fillId="7" borderId="5" xfId="0" applyNumberFormat="1" applyFill="1" applyBorder="1" applyAlignment="1">
      <alignment horizontal="center" vertical="center"/>
    </xf>
    <xf numFmtId="10" fontId="0" fillId="5" borderId="5" xfId="0" applyNumberFormat="1" applyFill="1" applyBorder="1" applyAlignment="1">
      <alignment horizontal="center" vertical="center"/>
    </xf>
    <xf numFmtId="0" fontId="0" fillId="3" borderId="7" xfId="0" applyFill="1" applyBorder="1" applyAlignment="1">
      <alignment horizontal="left" vertical="center" wrapText="1"/>
    </xf>
    <xf numFmtId="0" fontId="0" fillId="3" borderId="7" xfId="0" applyFill="1" applyBorder="1" applyAlignment="1">
      <alignment horizontal="center" vertical="center" wrapText="1"/>
    </xf>
    <xf numFmtId="1" fontId="0" fillId="3" borderId="7" xfId="0" applyNumberFormat="1" applyFill="1" applyBorder="1" applyAlignment="1">
      <alignment horizontal="center" vertical="center"/>
    </xf>
    <xf numFmtId="1" fontId="0" fillId="7" borderId="7" xfId="0" applyNumberFormat="1" applyFill="1" applyBorder="1" applyAlignment="1">
      <alignment horizontal="center" vertical="center"/>
    </xf>
    <xf numFmtId="2" fontId="0" fillId="5" borderId="7" xfId="0" applyNumberFormat="1" applyFill="1" applyBorder="1" applyAlignment="1">
      <alignment horizontal="center" vertical="center"/>
    </xf>
    <xf numFmtId="2" fontId="0" fillId="3" borderId="7" xfId="0" applyNumberFormat="1" applyFill="1" applyBorder="1" applyAlignment="1">
      <alignment horizontal="center" vertical="center"/>
    </xf>
    <xf numFmtId="0" fontId="0" fillId="0" borderId="6" xfId="0" applyBorder="1" applyAlignment="1">
      <alignment horizontal="left" vertical="center" wrapText="1"/>
    </xf>
    <xf numFmtId="0" fontId="0" fillId="4" borderId="6" xfId="0" applyFill="1" applyBorder="1" applyAlignment="1">
      <alignment horizontal="center" vertical="center" wrapText="1"/>
    </xf>
    <xf numFmtId="1" fontId="0" fillId="0" borderId="6" xfId="0" applyNumberFormat="1" applyBorder="1" applyAlignment="1">
      <alignment horizontal="center" vertical="center"/>
    </xf>
    <xf numFmtId="1" fontId="0" fillId="0" borderId="6" xfId="0" applyNumberFormat="1" applyBorder="1" applyAlignment="1">
      <alignment horizontal="center" vertical="center" wrapText="1"/>
    </xf>
    <xf numFmtId="1" fontId="0" fillId="7" borderId="6" xfId="0" applyNumberFormat="1" applyFill="1" applyBorder="1" applyAlignment="1">
      <alignment horizontal="center" vertical="center" wrapText="1"/>
    </xf>
    <xf numFmtId="1" fontId="0" fillId="7" borderId="6" xfId="0" applyNumberFormat="1" applyFill="1" applyBorder="1" applyAlignment="1">
      <alignment horizontal="center" vertical="center"/>
    </xf>
    <xf numFmtId="2" fontId="0" fillId="0" borderId="6" xfId="0" applyNumberFormat="1" applyBorder="1" applyAlignment="1">
      <alignment horizontal="center" vertical="center" wrapText="1"/>
    </xf>
    <xf numFmtId="2" fontId="0" fillId="5" borderId="6" xfId="0" applyNumberFormat="1" applyFill="1" applyBorder="1" applyAlignment="1">
      <alignment horizontal="center"/>
    </xf>
    <xf numFmtId="2" fontId="0" fillId="0" borderId="6" xfId="0" applyNumberFormat="1" applyBorder="1" applyAlignment="1">
      <alignment horizontal="center"/>
    </xf>
    <xf numFmtId="1" fontId="0" fillId="5" borderId="6" xfId="1" applyNumberFormat="1" applyFont="1" applyFill="1" applyBorder="1" applyAlignment="1">
      <alignment horizontal="center"/>
    </xf>
    <xf numFmtId="2" fontId="0" fillId="3" borderId="6" xfId="0" applyNumberFormat="1" applyFill="1" applyBorder="1" applyAlignment="1">
      <alignment horizontal="center" vertical="center"/>
    </xf>
    <xf numFmtId="2" fontId="0" fillId="9" borderId="4" xfId="0" applyNumberFormat="1" applyFill="1" applyBorder="1" applyAlignment="1">
      <alignment horizontal="center" vertical="center"/>
    </xf>
    <xf numFmtId="10" fontId="0" fillId="9" borderId="4" xfId="0" applyNumberFormat="1" applyFill="1" applyBorder="1" applyAlignment="1">
      <alignment horizontal="center" vertical="center"/>
    </xf>
    <xf numFmtId="2" fontId="0" fillId="9" borderId="6" xfId="0" applyNumberFormat="1" applyFill="1" applyBorder="1" applyAlignment="1">
      <alignment horizontal="center" vertical="center" wrapText="1"/>
    </xf>
    <xf numFmtId="1" fontId="0" fillId="9" borderId="6" xfId="1" applyNumberFormat="1" applyFont="1" applyFill="1" applyBorder="1" applyAlignment="1">
      <alignment horizontal="center"/>
    </xf>
    <xf numFmtId="2" fontId="0" fillId="9" borderId="7" xfId="0" applyNumberFormat="1" applyFill="1" applyBorder="1" applyAlignment="1">
      <alignment horizontal="center" vertical="center"/>
    </xf>
    <xf numFmtId="1" fontId="0" fillId="9" borderId="4" xfId="0" applyNumberFormat="1" applyFill="1" applyBorder="1" applyAlignment="1">
      <alignment horizontal="center" vertical="center"/>
    </xf>
    <xf numFmtId="1" fontId="0" fillId="9" borderId="4" xfId="0" applyNumberFormat="1" applyFill="1" applyBorder="1" applyAlignment="1">
      <alignment horizontal="center" vertical="center" wrapText="1"/>
    </xf>
    <xf numFmtId="10" fontId="0" fillId="9" borderId="4" xfId="1" applyNumberFormat="1" applyFont="1" applyFill="1" applyBorder="1" applyAlignment="1">
      <alignment horizontal="center" vertical="center"/>
    </xf>
    <xf numFmtId="10" fontId="0" fillId="9" borderId="5" xfId="1" applyNumberFormat="1" applyFont="1" applyFill="1" applyBorder="1" applyAlignment="1">
      <alignment horizontal="center" vertical="center"/>
    </xf>
    <xf numFmtId="10" fontId="0" fillId="10" borderId="5" xfId="0" applyNumberFormat="1" applyFill="1" applyBorder="1" applyAlignment="1">
      <alignment horizontal="center" vertical="center"/>
    </xf>
    <xf numFmtId="1" fontId="0" fillId="10" borderId="4" xfId="0" applyNumberFormat="1" applyFill="1" applyBorder="1" applyAlignment="1">
      <alignment horizontal="center" vertical="center"/>
    </xf>
    <xf numFmtId="2" fontId="0" fillId="10" borderId="4" xfId="0" applyNumberFormat="1" applyFill="1" applyBorder="1" applyAlignment="1">
      <alignment horizontal="center" vertical="center"/>
    </xf>
    <xf numFmtId="10" fontId="0" fillId="10" borderId="6" xfId="1" applyNumberFormat="1" applyFont="1" applyFill="1" applyBorder="1" applyAlignment="1">
      <alignment horizontal="center" vertical="center"/>
    </xf>
    <xf numFmtId="9" fontId="0" fillId="10" borderId="4" xfId="1" applyFont="1" applyFill="1" applyBorder="1" applyAlignment="1">
      <alignment horizontal="center" vertical="center"/>
    </xf>
    <xf numFmtId="0" fontId="0" fillId="4" borderId="0" xfId="0" applyFill="1"/>
    <xf numFmtId="0" fontId="2" fillId="2" borderId="6" xfId="0" applyFont="1" applyFill="1" applyBorder="1" applyAlignment="1">
      <alignment horizontal="left" vertical="top" wrapText="1"/>
    </xf>
    <xf numFmtId="0" fontId="3" fillId="11" borderId="6" xfId="0" applyFont="1" applyFill="1" applyBorder="1" applyAlignment="1">
      <alignment horizontal="left" vertical="top" wrapText="1"/>
    </xf>
    <xf numFmtId="0" fontId="0" fillId="0" borderId="6" xfId="0" applyBorder="1" applyAlignment="1">
      <alignment vertical="top"/>
    </xf>
    <xf numFmtId="0" fontId="0" fillId="0" borderId="0" xfId="0" applyAlignment="1">
      <alignment vertical="top"/>
    </xf>
    <xf numFmtId="0" fontId="0" fillId="0" borderId="0" xfId="0" applyAlignment="1"/>
    <xf numFmtId="0" fontId="2" fillId="2" borderId="6" xfId="0" applyFont="1" applyFill="1" applyBorder="1" applyAlignment="1">
      <alignment horizontal="center" vertical="top" wrapText="1"/>
    </xf>
    <xf numFmtId="0" fontId="2" fillId="2" borderId="6" xfId="0" applyFont="1" applyFill="1" applyBorder="1" applyAlignment="1">
      <alignment horizontal="center" vertical="top"/>
    </xf>
    <xf numFmtId="0" fontId="6" fillId="6" borderId="6" xfId="0" applyFont="1" applyFill="1" applyBorder="1" applyAlignment="1">
      <alignment horizontal="center" vertical="top"/>
    </xf>
    <xf numFmtId="0" fontId="6" fillId="7" borderId="6" xfId="0" applyFont="1" applyFill="1" applyBorder="1" applyAlignment="1">
      <alignment horizontal="center" vertical="top"/>
    </xf>
    <xf numFmtId="0" fontId="4" fillId="5" borderId="6" xfId="0" applyFont="1" applyFill="1" applyBorder="1" applyAlignment="1">
      <alignment horizontal="center" vertical="top"/>
    </xf>
    <xf numFmtId="0" fontId="6" fillId="8" borderId="6" xfId="0" applyFont="1" applyFill="1" applyBorder="1" applyAlignment="1">
      <alignment horizontal="center" vertical="top"/>
    </xf>
    <xf numFmtId="0" fontId="3" fillId="8" borderId="6" xfId="0" applyFont="1" applyFill="1" applyBorder="1" applyAlignment="1">
      <alignment horizontal="center" vertical="top"/>
    </xf>
    <xf numFmtId="0" fontId="2" fillId="11" borderId="6" xfId="0" applyFont="1" applyFill="1" applyBorder="1" applyAlignment="1">
      <alignment horizontal="center" vertical="top" wrapText="1"/>
    </xf>
    <xf numFmtId="0" fontId="2" fillId="11" borderId="6" xfId="0" applyFont="1" applyFill="1" applyBorder="1" applyAlignment="1">
      <alignment horizontal="center" vertical="top"/>
    </xf>
    <xf numFmtId="0" fontId="6" fillId="11" borderId="6" xfId="0" applyFont="1" applyFill="1" applyBorder="1" applyAlignment="1">
      <alignment horizontal="center" vertical="top"/>
    </xf>
    <xf numFmtId="0" fontId="6" fillId="4" borderId="6" xfId="0" applyFont="1" applyFill="1" applyBorder="1" applyAlignment="1">
      <alignment horizontal="center" vertical="top"/>
    </xf>
    <xf numFmtId="0" fontId="4" fillId="4" borderId="6" xfId="0" applyFont="1" applyFill="1" applyBorder="1" applyAlignment="1">
      <alignment horizontal="center" vertical="top"/>
    </xf>
    <xf numFmtId="0" fontId="3" fillId="11" borderId="6" xfId="0" applyFont="1" applyFill="1" applyBorder="1" applyAlignment="1">
      <alignment horizontal="center" vertical="top"/>
    </xf>
    <xf numFmtId="10" fontId="0" fillId="3" borderId="6" xfId="0" applyNumberFormat="1" applyFill="1" applyBorder="1" applyAlignment="1">
      <alignment horizontal="center" vertical="top"/>
    </xf>
    <xf numFmtId="10" fontId="0" fillId="7" borderId="6" xfId="0" applyNumberFormat="1" applyFill="1" applyBorder="1" applyAlignment="1">
      <alignment horizontal="center" vertical="top"/>
    </xf>
    <xf numFmtId="10" fontId="0" fillId="10" borderId="6" xfId="0" applyNumberFormat="1" applyFill="1" applyBorder="1" applyAlignment="1">
      <alignment horizontal="center" vertical="top"/>
    </xf>
    <xf numFmtId="10" fontId="0" fillId="5" borderId="6" xfId="0" applyNumberFormat="1" applyFill="1" applyBorder="1" applyAlignment="1">
      <alignment horizontal="center" vertical="top"/>
    </xf>
    <xf numFmtId="0" fontId="0" fillId="4" borderId="6" xfId="0" applyFill="1" applyBorder="1" applyAlignment="1">
      <alignment horizontal="center" vertical="top" wrapText="1"/>
    </xf>
    <xf numFmtId="1" fontId="0" fillId="4" borderId="6" xfId="0" applyNumberFormat="1" applyFill="1" applyBorder="1" applyAlignment="1">
      <alignment horizontal="center" vertical="top"/>
    </xf>
    <xf numFmtId="1" fontId="0" fillId="7" borderId="6" xfId="0" applyNumberFormat="1" applyFill="1" applyBorder="1" applyAlignment="1">
      <alignment horizontal="center" vertical="top"/>
    </xf>
    <xf numFmtId="1" fontId="0" fillId="10" borderId="6" xfId="0" applyNumberFormat="1" applyFill="1" applyBorder="1" applyAlignment="1">
      <alignment horizontal="center" vertical="top"/>
    </xf>
    <xf numFmtId="1" fontId="0" fillId="5" borderId="6" xfId="0" applyNumberFormat="1" applyFill="1" applyBorder="1" applyAlignment="1">
      <alignment horizontal="center" vertical="top"/>
    </xf>
    <xf numFmtId="2" fontId="0" fillId="5" borderId="6" xfId="0" applyNumberFormat="1" applyFill="1" applyBorder="1" applyAlignment="1">
      <alignment horizontal="center" vertical="top"/>
    </xf>
    <xf numFmtId="10" fontId="0" fillId="3" borderId="6" xfId="1" applyNumberFormat="1" applyFont="1" applyFill="1" applyBorder="1" applyAlignment="1">
      <alignment horizontal="center" vertical="top"/>
    </xf>
    <xf numFmtId="10" fontId="0" fillId="7" borderId="6" xfId="1" applyNumberFormat="1" applyFont="1" applyFill="1" applyBorder="1" applyAlignment="1">
      <alignment horizontal="center" vertical="top"/>
    </xf>
    <xf numFmtId="10" fontId="0" fillId="10" borderId="6" xfId="1" applyNumberFormat="1" applyFont="1" applyFill="1" applyBorder="1" applyAlignment="1">
      <alignment horizontal="center" vertical="top"/>
    </xf>
    <xf numFmtId="9" fontId="0" fillId="10" borderId="6" xfId="1" applyFont="1" applyFill="1" applyBorder="1" applyAlignment="1">
      <alignment horizontal="center" vertical="top"/>
    </xf>
    <xf numFmtId="10" fontId="0" fillId="5" borderId="6" xfId="1" applyNumberFormat="1" applyFont="1" applyFill="1" applyBorder="1" applyAlignment="1">
      <alignment horizontal="center" vertical="top"/>
    </xf>
    <xf numFmtId="1" fontId="0" fillId="0" borderId="6" xfId="0" applyNumberFormat="1" applyBorder="1" applyAlignment="1">
      <alignment horizontal="center" vertical="top"/>
    </xf>
    <xf numFmtId="1" fontId="0" fillId="7" borderId="6" xfId="0" applyNumberFormat="1" applyFill="1" applyBorder="1" applyAlignment="1">
      <alignment horizontal="center" vertical="top" wrapText="1"/>
    </xf>
    <xf numFmtId="2" fontId="0" fillId="9" borderId="6" xfId="0" applyNumberFormat="1" applyFill="1" applyBorder="1" applyAlignment="1">
      <alignment horizontal="center" vertical="top" wrapText="1"/>
    </xf>
    <xf numFmtId="2" fontId="0" fillId="3" borderId="6" xfId="0" applyNumberFormat="1" applyFill="1" applyBorder="1" applyAlignment="1">
      <alignment horizontal="center" vertical="top"/>
    </xf>
    <xf numFmtId="1" fontId="0" fillId="9" borderId="6" xfId="1" applyNumberFormat="1" applyFont="1" applyFill="1" applyBorder="1" applyAlignment="1">
      <alignment horizontal="center" vertical="top"/>
    </xf>
    <xf numFmtId="1" fontId="0" fillId="9" borderId="6" xfId="0" applyNumberFormat="1" applyFill="1" applyBorder="1" applyAlignment="1">
      <alignment horizontal="center" vertical="top"/>
    </xf>
    <xf numFmtId="10" fontId="0" fillId="9" borderId="6" xfId="1" applyNumberFormat="1" applyFont="1" applyFill="1" applyBorder="1" applyAlignment="1">
      <alignment horizontal="center" vertical="top"/>
    </xf>
    <xf numFmtId="10" fontId="0" fillId="9" borderId="6" xfId="0" applyNumberFormat="1" applyFill="1" applyBorder="1" applyAlignment="1">
      <alignment horizontal="center" vertical="top"/>
    </xf>
    <xf numFmtId="10" fontId="0" fillId="0" borderId="6" xfId="0" applyNumberFormat="1" applyBorder="1" applyAlignment="1">
      <alignment horizontal="center" vertical="top"/>
    </xf>
    <xf numFmtId="0" fontId="0" fillId="4" borderId="6" xfId="0" applyFill="1" applyBorder="1" applyAlignment="1">
      <alignment vertical="top"/>
    </xf>
    <xf numFmtId="0" fontId="3" fillId="4" borderId="6" xfId="0" applyFont="1" applyFill="1" applyBorder="1" applyAlignment="1">
      <alignment vertical="top"/>
    </xf>
    <xf numFmtId="0" fontId="0" fillId="10" borderId="6" xfId="0" applyFill="1" applyBorder="1" applyAlignment="1">
      <alignment horizontal="left" vertical="top" wrapText="1"/>
    </xf>
    <xf numFmtId="0" fontId="5" fillId="10" borderId="6" xfId="0" applyFont="1" applyFill="1" applyBorder="1" applyAlignment="1">
      <alignment vertical="top" wrapText="1"/>
    </xf>
    <xf numFmtId="10" fontId="0" fillId="4" borderId="6" xfId="0" applyNumberFormat="1" applyFill="1" applyBorder="1" applyAlignment="1">
      <alignment horizontal="center" vertical="top"/>
    </xf>
    <xf numFmtId="2" fontId="0" fillId="4" borderId="6" xfId="0" applyNumberFormat="1" applyFill="1" applyBorder="1" applyAlignment="1">
      <alignment horizontal="center" vertical="top"/>
    </xf>
    <xf numFmtId="10" fontId="0" fillId="4" borderId="6" xfId="1" applyNumberFormat="1" applyFont="1" applyFill="1" applyBorder="1" applyAlignment="1">
      <alignment horizontal="center" vertical="top"/>
    </xf>
    <xf numFmtId="1" fontId="0" fillId="4" borderId="6" xfId="0" applyNumberFormat="1" applyFill="1" applyBorder="1" applyAlignment="1">
      <alignment horizontal="center" vertical="top" wrapText="1"/>
    </xf>
    <xf numFmtId="0" fontId="0" fillId="4" borderId="0" xfId="0" applyFill="1" applyAlignment="1">
      <alignment vertical="top"/>
    </xf>
    <xf numFmtId="9" fontId="0" fillId="4" borderId="6" xfId="1" applyFont="1" applyFill="1" applyBorder="1" applyAlignment="1">
      <alignment horizontal="center" vertical="top"/>
    </xf>
    <xf numFmtId="0" fontId="0" fillId="9" borderId="6" xfId="0" applyFill="1" applyBorder="1" applyAlignment="1">
      <alignment horizontal="left" vertical="top" wrapText="1"/>
    </xf>
    <xf numFmtId="0" fontId="0" fillId="9" borderId="6" xfId="0" applyFill="1"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12" borderId="6" xfId="0" applyFill="1" applyBorder="1" applyAlignment="1">
      <alignment vertical="top"/>
    </xf>
    <xf numFmtId="0" fontId="0" fillId="12" borderId="6" xfId="0" applyFill="1" applyBorder="1" applyAlignment="1">
      <alignment vertical="top" wrapText="1"/>
    </xf>
    <xf numFmtId="164" fontId="0" fillId="0" borderId="6" xfId="0" applyNumberFormat="1" applyBorder="1" applyAlignment="1">
      <alignment vertical="top" wrapText="1"/>
    </xf>
    <xf numFmtId="165" fontId="0" fillId="0" borderId="6" xfId="0" applyNumberFormat="1" applyBorder="1" applyAlignment="1">
      <alignment vertical="top" wrapText="1"/>
    </xf>
    <xf numFmtId="0" fontId="8" fillId="0" borderId="8" xfId="0" applyFont="1" applyBorder="1" applyAlignment="1">
      <alignment horizontal="center" vertical="center" wrapText="1" readingOrder="1"/>
    </xf>
    <xf numFmtId="0" fontId="8" fillId="13" borderId="9" xfId="0" applyFont="1" applyFill="1" applyBorder="1" applyAlignment="1">
      <alignment horizontal="center" vertical="center" wrapText="1" readingOrder="1"/>
    </xf>
    <xf numFmtId="0" fontId="7" fillId="13" borderId="10" xfId="0" applyFont="1" applyFill="1" applyBorder="1" applyAlignment="1">
      <alignment horizontal="center" vertical="center" wrapText="1" readingOrder="1"/>
    </xf>
    <xf numFmtId="0" fontId="7" fillId="13" borderId="11" xfId="0" applyFont="1" applyFill="1" applyBorder="1" applyAlignment="1">
      <alignment horizontal="center" vertical="center" wrapText="1" readingOrder="1"/>
    </xf>
    <xf numFmtId="0" fontId="8" fillId="13" borderId="8" xfId="0" applyFont="1" applyFill="1" applyBorder="1" applyAlignment="1">
      <alignment horizontal="center" vertical="center" wrapText="1" readingOrder="1"/>
    </xf>
    <xf numFmtId="0" fontId="8" fillId="0" borderId="9" xfId="0" applyFont="1" applyBorder="1" applyAlignment="1">
      <alignment horizontal="center" vertical="center" wrapText="1" readingOrder="1"/>
    </xf>
    <xf numFmtId="0" fontId="8" fillId="0" borderId="10" xfId="0" applyFont="1" applyBorder="1" applyAlignment="1">
      <alignment horizontal="center" vertical="center" wrapText="1" readingOrder="1"/>
    </xf>
    <xf numFmtId="0" fontId="8" fillId="0" borderId="11" xfId="0" applyFont="1" applyBorder="1" applyAlignment="1">
      <alignment horizontal="center" vertical="center" wrapText="1" readingOrder="1"/>
    </xf>
    <xf numFmtId="0" fontId="9"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topLeftCell="A3" workbookViewId="0">
      <selection activeCell="E7" sqref="E7"/>
    </sheetView>
  </sheetViews>
  <sheetFormatPr defaultRowHeight="15" x14ac:dyDescent="0.25"/>
  <cols>
    <col min="1" max="1" width="30" customWidth="1"/>
    <col min="2" max="2" width="32.140625" customWidth="1"/>
    <col min="3" max="3" width="38.42578125" customWidth="1"/>
    <col min="4" max="4" width="9.140625" customWidth="1"/>
  </cols>
  <sheetData>
    <row r="1" spans="1:3" ht="27" thickBot="1" x14ac:dyDescent="0.45">
      <c r="A1" s="158" t="s">
        <v>80</v>
      </c>
    </row>
    <row r="2" spans="1:3" ht="24" thickBot="1" x14ac:dyDescent="0.3">
      <c r="A2" s="150" t="s">
        <v>64</v>
      </c>
      <c r="B2" s="150" t="s">
        <v>65</v>
      </c>
      <c r="C2" s="150" t="s">
        <v>66</v>
      </c>
    </row>
    <row r="3" spans="1:3" ht="45.75" customHeight="1" x14ac:dyDescent="0.25">
      <c r="A3" s="155" t="s">
        <v>67</v>
      </c>
      <c r="B3" s="155" t="s">
        <v>68</v>
      </c>
      <c r="C3" s="151" t="s">
        <v>69</v>
      </c>
    </row>
    <row r="4" spans="1:3" ht="23.25" x14ac:dyDescent="0.25">
      <c r="A4" s="156"/>
      <c r="B4" s="156"/>
      <c r="C4" s="152" t="s">
        <v>70</v>
      </c>
    </row>
    <row r="5" spans="1:3" ht="24" thickBot="1" x14ac:dyDescent="0.3">
      <c r="A5" s="157"/>
      <c r="B5" s="157"/>
      <c r="C5" s="153" t="s">
        <v>71</v>
      </c>
    </row>
    <row r="6" spans="1:3" ht="93.75" thickBot="1" x14ac:dyDescent="0.3">
      <c r="A6" s="150" t="s">
        <v>72</v>
      </c>
      <c r="B6" s="150" t="s">
        <v>73</v>
      </c>
      <c r="C6" s="154" t="s">
        <v>74</v>
      </c>
    </row>
    <row r="7" spans="1:3" ht="92.25" customHeight="1" x14ac:dyDescent="0.25">
      <c r="A7" s="155" t="s">
        <v>75</v>
      </c>
      <c r="B7" s="155" t="s">
        <v>76</v>
      </c>
      <c r="C7" s="151" t="s">
        <v>77</v>
      </c>
    </row>
    <row r="8" spans="1:3" ht="23.25" x14ac:dyDescent="0.25">
      <c r="A8" s="156"/>
      <c r="B8" s="156"/>
      <c r="C8" s="152" t="s">
        <v>78</v>
      </c>
    </row>
    <row r="9" spans="1:3" ht="24" thickBot="1" x14ac:dyDescent="0.3">
      <c r="A9" s="157"/>
      <c r="B9" s="157"/>
      <c r="C9" s="153" t="s">
        <v>79</v>
      </c>
    </row>
  </sheetData>
  <mergeCells count="4">
    <mergeCell ref="A3:A5"/>
    <mergeCell ref="B3:B5"/>
    <mergeCell ref="A7:A9"/>
    <mergeCell ref="B7:B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3" workbookViewId="0">
      <selection activeCell="A20" sqref="A20"/>
    </sheetView>
  </sheetViews>
  <sheetFormatPr defaultRowHeight="15" x14ac:dyDescent="0.25"/>
  <cols>
    <col min="1" max="1" width="36.85546875" bestFit="1" customWidth="1"/>
    <col min="2" max="2" width="1.140625" customWidth="1"/>
    <col min="3" max="3" width="9.140625" hidden="1" customWidth="1"/>
    <col min="4" max="4" width="14.140625" hidden="1" customWidth="1"/>
    <col min="5" max="5" width="20.42578125" hidden="1" customWidth="1"/>
    <col min="6" max="6" width="30.28515625" hidden="1" customWidth="1"/>
    <col min="7" max="7" width="8.7109375" customWidth="1"/>
    <col min="8" max="8" width="16.42578125" customWidth="1"/>
    <col min="9" max="9" width="11" customWidth="1"/>
    <col min="10" max="10" width="10.42578125" customWidth="1"/>
    <col min="12" max="12" width="11" customWidth="1"/>
    <col min="13" max="13" width="14.7109375" customWidth="1"/>
    <col min="14" max="14" width="25.85546875" customWidth="1"/>
    <col min="15" max="15" width="28.140625" customWidth="1"/>
  </cols>
  <sheetData>
    <row r="1" spans="1:15" ht="18.75" customHeight="1" x14ac:dyDescent="0.25">
      <c r="A1" s="1" t="s">
        <v>37</v>
      </c>
      <c r="B1" s="2" t="s">
        <v>0</v>
      </c>
      <c r="C1" s="3" t="s">
        <v>1</v>
      </c>
      <c r="D1" s="3" t="s">
        <v>2</v>
      </c>
      <c r="E1" s="49" t="s">
        <v>3</v>
      </c>
      <c r="F1" s="49" t="s">
        <v>4</v>
      </c>
      <c r="G1" s="50" t="s">
        <v>5</v>
      </c>
      <c r="H1" s="33" t="s">
        <v>6</v>
      </c>
      <c r="I1" s="4" t="s">
        <v>7</v>
      </c>
      <c r="J1" s="4" t="s">
        <v>8</v>
      </c>
      <c r="K1" s="52" t="s">
        <v>9</v>
      </c>
      <c r="L1" s="4" t="s">
        <v>10</v>
      </c>
      <c r="M1" s="51" t="s">
        <v>11</v>
      </c>
      <c r="N1" s="4" t="s">
        <v>38</v>
      </c>
      <c r="O1" s="4" t="s">
        <v>39</v>
      </c>
    </row>
    <row r="2" spans="1:15" x14ac:dyDescent="0.25">
      <c r="A2" s="5" t="s">
        <v>12</v>
      </c>
      <c r="B2" s="6" t="s">
        <v>13</v>
      </c>
      <c r="C2" s="7"/>
      <c r="D2" s="7">
        <v>67</v>
      </c>
      <c r="E2" s="41">
        <v>68</v>
      </c>
      <c r="F2" s="41">
        <v>67</v>
      </c>
      <c r="G2" s="41">
        <v>66</v>
      </c>
      <c r="H2" s="75">
        <v>67.400000000000006</v>
      </c>
      <c r="I2" s="7">
        <f>AVERAGE(E2:G2)</f>
        <v>67</v>
      </c>
      <c r="J2" s="7">
        <f>_xlfn.STDEV.P(E2:G2)</f>
        <v>0.81649658092772603</v>
      </c>
      <c r="K2" s="34">
        <f>(I2-J2)</f>
        <v>66.183503419072281</v>
      </c>
      <c r="L2" s="7">
        <f>(I2+J2)</f>
        <v>67.816496580927719</v>
      </c>
      <c r="M2" s="34">
        <f>I2+(1.5*J2)</f>
        <v>68.224744871391593</v>
      </c>
    </row>
    <row r="3" spans="1:15" x14ac:dyDescent="0.25">
      <c r="A3" s="8" t="s">
        <v>14</v>
      </c>
      <c r="B3" s="9" t="s">
        <v>13</v>
      </c>
      <c r="C3" s="10">
        <v>0.88</v>
      </c>
      <c r="D3" s="10">
        <v>0.88</v>
      </c>
      <c r="E3" s="42">
        <v>0.88</v>
      </c>
      <c r="F3" s="42">
        <v>0.88</v>
      </c>
      <c r="G3" s="42">
        <v>0.88</v>
      </c>
      <c r="H3" s="76">
        <v>0.88</v>
      </c>
      <c r="I3" s="10">
        <f t="shared" ref="I3:I22" si="0">AVERAGE(E3:G3)</f>
        <v>0.88</v>
      </c>
      <c r="J3" s="10">
        <f t="shared" ref="J3:J14" si="1">_xlfn.STDEV.P(E3:G3)</f>
        <v>0</v>
      </c>
      <c r="K3" s="35">
        <f t="shared" ref="K3:K22" si="2">(I3-J3)</f>
        <v>0.88</v>
      </c>
      <c r="L3" s="10">
        <f>(I3+J3)</f>
        <v>0.88</v>
      </c>
      <c r="M3" s="35">
        <f>I3+(1.5*J3)</f>
        <v>0.88</v>
      </c>
    </row>
    <row r="4" spans="1:15" x14ac:dyDescent="0.25">
      <c r="A4" s="54" t="s">
        <v>15</v>
      </c>
      <c r="B4" s="6" t="s">
        <v>28</v>
      </c>
      <c r="C4" s="55">
        <f>6229/16448</f>
        <v>0.37870865758754862</v>
      </c>
      <c r="D4" s="55">
        <f>14869/41087</f>
        <v>0.36189062233796576</v>
      </c>
      <c r="E4" s="56">
        <f>18375/50117</f>
        <v>0.36664205758525054</v>
      </c>
      <c r="F4" s="56">
        <f>18774/54322</f>
        <v>0.34560583189131477</v>
      </c>
      <c r="G4" s="56">
        <v>0.21</v>
      </c>
      <c r="H4" s="84">
        <v>0.16</v>
      </c>
      <c r="I4" s="55">
        <f t="shared" si="0"/>
        <v>0.30741596315885511</v>
      </c>
      <c r="J4" s="55">
        <f t="shared" si="1"/>
        <v>6.9416775621301038E-2</v>
      </c>
      <c r="K4" s="84">
        <f t="shared" si="2"/>
        <v>0.23799918753755406</v>
      </c>
      <c r="L4" s="55">
        <f>(I4+J4)</f>
        <v>0.37683273878015616</v>
      </c>
      <c r="M4" s="57">
        <f>I4+(1.5*J4)</f>
        <v>0.41154112659080666</v>
      </c>
      <c r="N4" t="s">
        <v>40</v>
      </c>
    </row>
    <row r="5" spans="1:15" x14ac:dyDescent="0.25">
      <c r="A5" s="64" t="s">
        <v>16</v>
      </c>
      <c r="B5" s="65" t="s">
        <v>17</v>
      </c>
      <c r="C5" s="66">
        <v>347</v>
      </c>
      <c r="D5" s="67">
        <v>375</v>
      </c>
      <c r="E5" s="68">
        <v>385</v>
      </c>
      <c r="F5" s="69">
        <v>344</v>
      </c>
      <c r="G5" s="68">
        <v>599</v>
      </c>
      <c r="H5" s="77">
        <v>594</v>
      </c>
      <c r="I5" s="70">
        <f>AVERAGE(E5:G5)</f>
        <v>442.66666666666669</v>
      </c>
      <c r="J5" s="70">
        <f t="shared" si="1"/>
        <v>111.80439267856261</v>
      </c>
      <c r="K5" s="71">
        <f t="shared" si="2"/>
        <v>330.86227398810411</v>
      </c>
      <c r="L5" s="72">
        <f>(I5+J5)</f>
        <v>554.47105934522926</v>
      </c>
      <c r="M5" s="73">
        <f>I5+(1.5*J5)</f>
        <v>610.37325568451058</v>
      </c>
    </row>
    <row r="6" spans="1:15" ht="13.5" customHeight="1" x14ac:dyDescent="0.25">
      <c r="A6" s="64" t="s">
        <v>18</v>
      </c>
      <c r="B6" s="65" t="s">
        <v>17</v>
      </c>
      <c r="C6" s="66">
        <v>56</v>
      </c>
      <c r="D6" s="67">
        <v>75</v>
      </c>
      <c r="E6" s="68">
        <v>124</v>
      </c>
      <c r="F6" s="69">
        <v>153</v>
      </c>
      <c r="G6" s="68">
        <v>139</v>
      </c>
      <c r="H6" s="77">
        <v>203</v>
      </c>
      <c r="I6" s="74">
        <f t="shared" si="0"/>
        <v>138.66666666666666</v>
      </c>
      <c r="J6" s="74">
        <f t="shared" si="1"/>
        <v>11.841546445554409</v>
      </c>
      <c r="K6" s="71">
        <f t="shared" si="2"/>
        <v>126.82512022111224</v>
      </c>
      <c r="L6" s="72">
        <f t="shared" ref="L6:L22" si="3">(I6+J6)</f>
        <v>150.50821311222106</v>
      </c>
      <c r="M6" s="78">
        <f>I6+(1.5*J6)</f>
        <v>156.42898633499829</v>
      </c>
    </row>
    <row r="7" spans="1:15" x14ac:dyDescent="0.25">
      <c r="A7" s="64" t="s">
        <v>19</v>
      </c>
      <c r="B7" s="65" t="s">
        <v>17</v>
      </c>
      <c r="C7" s="66">
        <v>100</v>
      </c>
      <c r="D7" s="67">
        <v>123</v>
      </c>
      <c r="E7" s="68">
        <v>185</v>
      </c>
      <c r="F7" s="69">
        <v>213</v>
      </c>
      <c r="G7" s="68">
        <v>220</v>
      </c>
      <c r="H7" s="77">
        <v>275</v>
      </c>
      <c r="I7" s="74">
        <f t="shared" si="0"/>
        <v>206</v>
      </c>
      <c r="J7" s="74">
        <f t="shared" si="1"/>
        <v>15.121728296285006</v>
      </c>
      <c r="K7" s="71">
        <f t="shared" si="2"/>
        <v>190.878271703715</v>
      </c>
      <c r="L7" s="72">
        <f t="shared" si="3"/>
        <v>221.121728296285</v>
      </c>
      <c r="M7" s="78">
        <f t="shared" ref="M7:M13" si="4">I7+(1.5*J7)</f>
        <v>228.68259244442751</v>
      </c>
    </row>
    <row r="8" spans="1:15" ht="15.75" customHeight="1" x14ac:dyDescent="0.25">
      <c r="A8" s="58" t="s">
        <v>20</v>
      </c>
      <c r="B8" s="59" t="s">
        <v>21</v>
      </c>
      <c r="C8" s="60">
        <v>981</v>
      </c>
      <c r="D8" s="60">
        <v>1068</v>
      </c>
      <c r="E8" s="61">
        <v>1369</v>
      </c>
      <c r="F8" s="61">
        <v>1305</v>
      </c>
      <c r="G8" s="61">
        <v>1294</v>
      </c>
      <c r="H8" s="79">
        <v>1565</v>
      </c>
      <c r="I8" s="63">
        <f t="shared" si="0"/>
        <v>1322.6666666666667</v>
      </c>
      <c r="J8" s="63">
        <f t="shared" si="1"/>
        <v>33.068951533962419</v>
      </c>
      <c r="K8" s="62">
        <f t="shared" si="2"/>
        <v>1289.5977151327043</v>
      </c>
      <c r="L8" s="63">
        <f t="shared" si="3"/>
        <v>1355.7356182006292</v>
      </c>
      <c r="M8" s="62">
        <f t="shared" si="4"/>
        <v>1372.2700939676104</v>
      </c>
    </row>
    <row r="9" spans="1:15" x14ac:dyDescent="0.25">
      <c r="A9" s="16" t="s">
        <v>22</v>
      </c>
      <c r="B9" s="11" t="s">
        <v>17</v>
      </c>
      <c r="C9" s="17">
        <v>112</v>
      </c>
      <c r="D9" s="17">
        <v>121</v>
      </c>
      <c r="E9" s="44">
        <v>90</v>
      </c>
      <c r="F9" s="44">
        <v>103</v>
      </c>
      <c r="G9" s="44">
        <v>94</v>
      </c>
      <c r="H9" s="85">
        <v>86</v>
      </c>
      <c r="I9" s="17">
        <f t="shared" si="0"/>
        <v>95.666666666666671</v>
      </c>
      <c r="J9" s="17">
        <f t="shared" si="1"/>
        <v>5.4365021434333638</v>
      </c>
      <c r="K9" s="85">
        <f t="shared" si="2"/>
        <v>90.230164523233313</v>
      </c>
      <c r="L9" s="17">
        <f>(I9+J9)</f>
        <v>101.10316881010003</v>
      </c>
      <c r="M9" s="36">
        <f t="shared" si="4"/>
        <v>103.82141988181672</v>
      </c>
      <c r="N9" t="s">
        <v>40</v>
      </c>
    </row>
    <row r="10" spans="1:15" x14ac:dyDescent="0.25">
      <c r="A10" s="5" t="s">
        <v>23</v>
      </c>
      <c r="B10" s="6" t="s">
        <v>17</v>
      </c>
      <c r="C10" s="15">
        <v>175</v>
      </c>
      <c r="D10" s="15">
        <v>165</v>
      </c>
      <c r="E10" s="44">
        <v>163</v>
      </c>
      <c r="F10" s="44">
        <v>141</v>
      </c>
      <c r="G10" s="44">
        <v>129</v>
      </c>
      <c r="H10" s="80">
        <v>147</v>
      </c>
      <c r="I10" s="15">
        <f t="shared" si="0"/>
        <v>144.33333333333334</v>
      </c>
      <c r="J10" s="15">
        <f t="shared" si="1"/>
        <v>14.079141387961918</v>
      </c>
      <c r="K10" s="36">
        <f t="shared" si="2"/>
        <v>130.25419194537142</v>
      </c>
      <c r="L10" s="15">
        <f t="shared" si="3"/>
        <v>158.41247472129527</v>
      </c>
      <c r="M10" s="36">
        <f t="shared" si="4"/>
        <v>165.45204541527622</v>
      </c>
    </row>
    <row r="11" spans="1:15" x14ac:dyDescent="0.25">
      <c r="A11" s="8" t="s">
        <v>24</v>
      </c>
      <c r="B11" s="9" t="s">
        <v>17</v>
      </c>
      <c r="C11" s="12">
        <v>387</v>
      </c>
      <c r="D11" s="12">
        <v>445</v>
      </c>
      <c r="E11" s="44">
        <v>441</v>
      </c>
      <c r="F11" s="44">
        <v>454</v>
      </c>
      <c r="G11" s="44">
        <v>411</v>
      </c>
      <c r="H11" s="80">
        <v>471</v>
      </c>
      <c r="I11" s="12">
        <f t="shared" si="0"/>
        <v>435.33333333333331</v>
      </c>
      <c r="J11" s="12">
        <f t="shared" si="1"/>
        <v>18.006171781426008</v>
      </c>
      <c r="K11" s="36">
        <f t="shared" si="2"/>
        <v>417.3271615519073</v>
      </c>
      <c r="L11" s="12">
        <f t="shared" si="3"/>
        <v>453.33950511475933</v>
      </c>
      <c r="M11" s="80">
        <f>I11+(1.5*J11)</f>
        <v>462.34259100547234</v>
      </c>
    </row>
    <row r="12" spans="1:15" x14ac:dyDescent="0.25">
      <c r="A12" s="5" t="s">
        <v>25</v>
      </c>
      <c r="B12" s="6" t="s">
        <v>17</v>
      </c>
      <c r="C12" s="15">
        <v>41</v>
      </c>
      <c r="D12" s="15">
        <v>54</v>
      </c>
      <c r="E12" s="44">
        <v>67</v>
      </c>
      <c r="F12" s="44">
        <v>69</v>
      </c>
      <c r="G12" s="44">
        <v>66</v>
      </c>
      <c r="H12" s="85">
        <v>59</v>
      </c>
      <c r="I12" s="7">
        <f t="shared" si="0"/>
        <v>67.333333333333329</v>
      </c>
      <c r="J12" s="15">
        <f t="shared" si="1"/>
        <v>1.247219128924647</v>
      </c>
      <c r="K12" s="85">
        <f t="shared" si="2"/>
        <v>66.086114204408688</v>
      </c>
      <c r="L12" s="15">
        <f t="shared" si="3"/>
        <v>68.58055246225797</v>
      </c>
      <c r="M12" s="36">
        <f t="shared" si="4"/>
        <v>69.204162026720297</v>
      </c>
      <c r="N12" t="s">
        <v>40</v>
      </c>
    </row>
    <row r="13" spans="1:15" x14ac:dyDescent="0.25">
      <c r="A13" s="8" t="s">
        <v>26</v>
      </c>
      <c r="B13" s="9"/>
      <c r="C13" s="14"/>
      <c r="D13" s="13">
        <v>952</v>
      </c>
      <c r="E13" s="43">
        <v>795</v>
      </c>
      <c r="F13" s="43">
        <v>785</v>
      </c>
      <c r="G13" s="43">
        <v>745</v>
      </c>
      <c r="H13" s="81">
        <v>763</v>
      </c>
      <c r="I13" s="13">
        <f t="shared" si="0"/>
        <v>775</v>
      </c>
      <c r="J13" s="13">
        <f t="shared" si="1"/>
        <v>21.602468994692867</v>
      </c>
      <c r="K13" s="37">
        <f t="shared" si="2"/>
        <v>753.39753100530709</v>
      </c>
      <c r="L13" s="13">
        <f t="shared" si="3"/>
        <v>796.60246899469291</v>
      </c>
      <c r="M13" s="37">
        <f t="shared" si="4"/>
        <v>807.40370349203931</v>
      </c>
    </row>
    <row r="14" spans="1:15" x14ac:dyDescent="0.25">
      <c r="A14" s="5" t="s">
        <v>27</v>
      </c>
      <c r="B14" s="6" t="s">
        <v>28</v>
      </c>
      <c r="C14" s="18">
        <f>172/2908</f>
        <v>5.9147180192572216E-2</v>
      </c>
      <c r="D14" s="18">
        <f>169/2752</f>
        <v>6.1409883720930231E-2</v>
      </c>
      <c r="E14" s="45">
        <f>161/2837</f>
        <v>5.6750088121254844E-2</v>
      </c>
      <c r="F14" s="45">
        <f>209/3152</f>
        <v>6.6307106598984769E-2</v>
      </c>
      <c r="G14" s="45">
        <v>7.0000000000000007E-2</v>
      </c>
      <c r="H14" s="82">
        <v>0.15</v>
      </c>
      <c r="I14" s="18">
        <f t="shared" si="0"/>
        <v>6.4352398240079878E-2</v>
      </c>
      <c r="J14" s="18">
        <f t="shared" si="1"/>
        <v>5.5830520192756902E-3</v>
      </c>
      <c r="K14" s="38">
        <f t="shared" si="2"/>
        <v>5.8769346220804188E-2</v>
      </c>
      <c r="L14" s="18">
        <f t="shared" si="3"/>
        <v>6.9935450259355575E-2</v>
      </c>
      <c r="M14" s="82">
        <f>I14+(1.5*J14)</f>
        <v>7.272697626899341E-2</v>
      </c>
    </row>
    <row r="15" spans="1:15" ht="30" x14ac:dyDescent="0.25">
      <c r="A15" s="8" t="s">
        <v>29</v>
      </c>
      <c r="B15" s="9" t="s">
        <v>28</v>
      </c>
      <c r="C15" s="19">
        <f>191/2908</f>
        <v>6.56808803301238E-2</v>
      </c>
      <c r="D15" s="19">
        <f>234/2752</f>
        <v>8.5029069767441859E-2</v>
      </c>
      <c r="E15" s="45">
        <f>264/2837</f>
        <v>9.3056045118082478E-2</v>
      </c>
      <c r="F15" s="45">
        <f>302/3152</f>
        <v>9.5812182741116747E-2</v>
      </c>
      <c r="G15" s="42">
        <v>0.1</v>
      </c>
      <c r="H15" s="76">
        <v>0.23</v>
      </c>
      <c r="I15" s="10">
        <f t="shared" si="0"/>
        <v>9.628940928639973E-2</v>
      </c>
      <c r="J15" s="10">
        <f t="shared" ref="J15:J22" si="5">_xlfn.STDEV.P(C15:G15)</f>
        <v>1.2145186156946581E-2</v>
      </c>
      <c r="K15" s="35">
        <f t="shared" si="2"/>
        <v>8.4144223129453147E-2</v>
      </c>
      <c r="L15" s="10">
        <f t="shared" si="3"/>
        <v>0.10843459544334631</v>
      </c>
      <c r="M15" s="76">
        <f t="shared" ref="M15:M16" si="6">I15+(1.5*J15)</f>
        <v>0.1145071885218196</v>
      </c>
      <c r="N15" s="20"/>
    </row>
    <row r="16" spans="1:15" ht="30" x14ac:dyDescent="0.25">
      <c r="A16" s="21" t="s">
        <v>30</v>
      </c>
      <c r="B16" s="6" t="s">
        <v>28</v>
      </c>
      <c r="C16" s="18">
        <f>53/2098</f>
        <v>2.5262154432793137E-2</v>
      </c>
      <c r="D16" s="18">
        <f>61/2752</f>
        <v>2.2165697674418606E-2</v>
      </c>
      <c r="E16" s="45">
        <f>71/2837</f>
        <v>2.5026436376453999E-2</v>
      </c>
      <c r="F16" s="45">
        <f>79/3152</f>
        <v>2.5063451776649745E-2</v>
      </c>
      <c r="G16" s="42">
        <v>0.03</v>
      </c>
      <c r="H16" s="76">
        <v>0.09</v>
      </c>
      <c r="I16" s="18">
        <f t="shared" si="0"/>
        <v>2.6696629384367915E-2</v>
      </c>
      <c r="J16" s="18">
        <f t="shared" si="5"/>
        <v>2.523446707410581E-3</v>
      </c>
      <c r="K16" s="38">
        <f t="shared" si="2"/>
        <v>2.4173182676957335E-2</v>
      </c>
      <c r="L16" s="18">
        <f t="shared" si="3"/>
        <v>2.9220076091778496E-2</v>
      </c>
      <c r="M16" s="82">
        <f t="shared" si="6"/>
        <v>3.0481799445483786E-2</v>
      </c>
      <c r="N16" s="22"/>
    </row>
    <row r="17" spans="1:13" ht="120" x14ac:dyDescent="0.25">
      <c r="A17" s="8" t="s">
        <v>31</v>
      </c>
      <c r="B17" s="9" t="s">
        <v>28</v>
      </c>
      <c r="C17" s="23">
        <v>94</v>
      </c>
      <c r="D17" s="23">
        <v>93</v>
      </c>
      <c r="E17" s="41">
        <v>93</v>
      </c>
      <c r="F17" s="41">
        <v>96</v>
      </c>
      <c r="G17" s="41">
        <v>91</v>
      </c>
      <c r="H17" s="86">
        <v>91</v>
      </c>
      <c r="I17" s="23">
        <f t="shared" si="0"/>
        <v>93.333333333333329</v>
      </c>
      <c r="J17" s="23">
        <f>_xlfn.STDEV.P(E17:G17)</f>
        <v>2.0548046676563256</v>
      </c>
      <c r="K17" s="86">
        <f t="shared" si="2"/>
        <v>91.278528665677001</v>
      </c>
      <c r="L17" s="23">
        <f t="shared" si="3"/>
        <v>95.388138000989656</v>
      </c>
      <c r="M17" s="34">
        <f>I17+(1.5*J17)</f>
        <v>96.41554033481782</v>
      </c>
    </row>
    <row r="18" spans="1:13" ht="54" customHeight="1" x14ac:dyDescent="0.25">
      <c r="A18" s="5" t="s">
        <v>32</v>
      </c>
      <c r="B18" s="6" t="s">
        <v>28</v>
      </c>
      <c r="C18" s="18">
        <f>565/17386</f>
        <v>3.2497411710571723E-2</v>
      </c>
      <c r="D18" s="18">
        <f>602/17631</f>
        <v>3.4144404741648232E-2</v>
      </c>
      <c r="E18" s="45">
        <f>752/18267</f>
        <v>4.1167131986642583E-2</v>
      </c>
      <c r="F18" s="45">
        <f>1031/19637</f>
        <v>5.2502928145847123E-2</v>
      </c>
      <c r="G18" s="45">
        <v>0.09</v>
      </c>
      <c r="H18" s="82">
        <v>0.09</v>
      </c>
      <c r="I18" s="18">
        <f t="shared" si="0"/>
        <v>6.122335337749657E-2</v>
      </c>
      <c r="J18" s="18">
        <f t="shared" si="5"/>
        <v>2.1175482289996363E-2</v>
      </c>
      <c r="K18" s="38">
        <f t="shared" si="2"/>
        <v>4.0047871087500207E-2</v>
      </c>
      <c r="L18" s="18">
        <f t="shared" si="3"/>
        <v>8.2398835667492926E-2</v>
      </c>
      <c r="M18" s="38">
        <f t="shared" ref="M18:M22" si="7">I18+(1.5*J18)</f>
        <v>9.2986576812491117E-2</v>
      </c>
    </row>
    <row r="19" spans="1:13" ht="120" x14ac:dyDescent="0.25">
      <c r="A19" s="8" t="s">
        <v>33</v>
      </c>
      <c r="B19" s="9" t="s">
        <v>28</v>
      </c>
      <c r="C19" s="19">
        <f>8665/12166</f>
        <v>0.71223080716751608</v>
      </c>
      <c r="D19" s="19">
        <f>8517/12160</f>
        <v>0.70041118421052628</v>
      </c>
      <c r="E19" s="45">
        <f>8594/11786</f>
        <v>0.72917020193449855</v>
      </c>
      <c r="F19" s="45">
        <f>9049/13472</f>
        <v>0.67168942992874114</v>
      </c>
      <c r="G19" s="45">
        <v>0.68</v>
      </c>
      <c r="H19" s="38">
        <v>0.68</v>
      </c>
      <c r="I19" s="19">
        <f t="shared" si="0"/>
        <v>0.69361987728774654</v>
      </c>
      <c r="J19" s="19">
        <f t="shared" si="5"/>
        <v>2.0946145206139379E-2</v>
      </c>
      <c r="K19" s="38">
        <f t="shared" si="2"/>
        <v>0.67267373208160719</v>
      </c>
      <c r="L19" s="19">
        <f t="shared" si="3"/>
        <v>0.7145660224938859</v>
      </c>
      <c r="M19" s="38">
        <f t="shared" si="7"/>
        <v>0.72503909509695563</v>
      </c>
    </row>
    <row r="20" spans="1:13" ht="120" x14ac:dyDescent="0.25">
      <c r="A20" s="5" t="s">
        <v>34</v>
      </c>
      <c r="B20" s="6" t="s">
        <v>28</v>
      </c>
      <c r="C20" s="18">
        <v>0.49</v>
      </c>
      <c r="D20" s="18">
        <v>0.52</v>
      </c>
      <c r="E20" s="45">
        <v>0.55000000000000004</v>
      </c>
      <c r="F20" s="46">
        <v>0.56999999999999995</v>
      </c>
      <c r="G20" s="46">
        <v>0.57999999999999996</v>
      </c>
      <c r="H20" s="39"/>
      <c r="I20" s="24">
        <f t="shared" si="0"/>
        <v>0.56666666666666676</v>
      </c>
      <c r="J20" s="18">
        <f t="shared" si="5"/>
        <v>3.3105890714493685E-2</v>
      </c>
      <c r="K20" s="39">
        <f t="shared" si="2"/>
        <v>0.53356077595217311</v>
      </c>
      <c r="L20" s="24">
        <f t="shared" si="3"/>
        <v>0.59977255738116042</v>
      </c>
      <c r="M20" s="39">
        <f t="shared" si="7"/>
        <v>0.61632550273840725</v>
      </c>
    </row>
    <row r="21" spans="1:13" x14ac:dyDescent="0.25">
      <c r="A21" s="25" t="s">
        <v>35</v>
      </c>
      <c r="B21" s="26"/>
      <c r="C21" s="27">
        <v>0.78</v>
      </c>
      <c r="D21" s="27">
        <v>0.79</v>
      </c>
      <c r="E21" s="47">
        <v>0.79</v>
      </c>
      <c r="F21" s="47">
        <v>0.87</v>
      </c>
      <c r="G21" s="47">
        <v>0.85</v>
      </c>
      <c r="H21" s="83">
        <v>0.88</v>
      </c>
      <c r="I21" s="24">
        <f t="shared" si="0"/>
        <v>0.83666666666666678</v>
      </c>
      <c r="J21" s="27">
        <f t="shared" si="5"/>
        <v>3.6660605559646696E-2</v>
      </c>
      <c r="K21" s="39">
        <f t="shared" si="2"/>
        <v>0.80000606110702011</v>
      </c>
      <c r="L21" s="28">
        <f t="shared" si="3"/>
        <v>0.87332727222631346</v>
      </c>
      <c r="M21" s="40">
        <f t="shared" si="7"/>
        <v>0.89165757500613685</v>
      </c>
    </row>
    <row r="22" spans="1:13" x14ac:dyDescent="0.25">
      <c r="A22" s="29" t="s">
        <v>36</v>
      </c>
      <c r="B22" s="30"/>
      <c r="C22" s="31">
        <v>0.96</v>
      </c>
      <c r="D22" s="31">
        <v>0.84</v>
      </c>
      <c r="E22" s="48">
        <v>0.96</v>
      </c>
      <c r="F22" s="48">
        <v>0.84</v>
      </c>
      <c r="G22" s="48">
        <v>0.79</v>
      </c>
      <c r="H22" s="87">
        <v>0.78</v>
      </c>
      <c r="I22" s="24">
        <f t="shared" si="0"/>
        <v>0.86333333333333329</v>
      </c>
      <c r="J22" s="32">
        <f t="shared" si="5"/>
        <v>6.9397406291589872E-2</v>
      </c>
      <c r="K22" s="88">
        <f t="shared" si="2"/>
        <v>0.79393592704174343</v>
      </c>
      <c r="L22" s="32">
        <f t="shared" si="3"/>
        <v>0.93273073962492314</v>
      </c>
      <c r="M22" s="53">
        <f t="shared" si="7"/>
        <v>0.96742944277071807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5" zoomScale="112" zoomScaleNormal="112" workbookViewId="0">
      <selection activeCell="P6" sqref="P6"/>
    </sheetView>
  </sheetViews>
  <sheetFormatPr defaultRowHeight="15" x14ac:dyDescent="0.25"/>
  <cols>
    <col min="1" max="1" width="34.42578125" style="93" customWidth="1"/>
    <col min="2" max="2" width="0.42578125" style="140" customWidth="1"/>
    <col min="3" max="4" width="9.140625" style="140" hidden="1" customWidth="1"/>
    <col min="5" max="5" width="33.7109375" style="140" hidden="1" customWidth="1"/>
    <col min="6" max="7" width="9.140625" style="93" hidden="1" customWidth="1"/>
    <col min="8" max="8" width="13.42578125" style="93" customWidth="1"/>
    <col min="9" max="9" width="2.42578125" style="140" customWidth="1"/>
    <col min="10" max="10" width="9.140625" style="93" hidden="1" customWidth="1"/>
    <col min="11" max="11" width="13.85546875" style="93" customWidth="1"/>
    <col min="12" max="12" width="9.140625" style="140"/>
    <col min="13" max="13" width="15.140625" style="93" customWidth="1"/>
    <col min="14" max="14" width="29.42578125" style="145" customWidth="1"/>
    <col min="15" max="15" width="40.85546875" style="145" customWidth="1"/>
  </cols>
  <sheetData>
    <row r="1" spans="1:18" ht="18.75" customHeight="1" x14ac:dyDescent="0.25">
      <c r="A1" s="90" t="s">
        <v>37</v>
      </c>
      <c r="B1" s="102" t="s">
        <v>0</v>
      </c>
      <c r="C1" s="103" t="s">
        <v>1</v>
      </c>
      <c r="D1" s="103" t="s">
        <v>2</v>
      </c>
      <c r="E1" s="104" t="s">
        <v>3</v>
      </c>
      <c r="F1" s="97" t="s">
        <v>4</v>
      </c>
      <c r="G1" s="98" t="s">
        <v>5</v>
      </c>
      <c r="H1" s="99" t="s">
        <v>6</v>
      </c>
      <c r="I1" s="103" t="s">
        <v>7</v>
      </c>
      <c r="J1" s="96" t="s">
        <v>8</v>
      </c>
      <c r="K1" s="100" t="s">
        <v>9</v>
      </c>
      <c r="L1" s="103" t="s">
        <v>10</v>
      </c>
      <c r="M1" s="101" t="s">
        <v>11</v>
      </c>
      <c r="N1" s="95" t="s">
        <v>38</v>
      </c>
      <c r="O1" s="95" t="s">
        <v>47</v>
      </c>
    </row>
    <row r="2" spans="1:18" s="89" customFormat="1" ht="18.75" customHeight="1" x14ac:dyDescent="0.25">
      <c r="A2" s="91" t="s">
        <v>41</v>
      </c>
      <c r="B2" s="102"/>
      <c r="C2" s="103"/>
      <c r="D2" s="103"/>
      <c r="E2" s="104"/>
      <c r="F2" s="104"/>
      <c r="G2" s="105"/>
      <c r="H2" s="106"/>
      <c r="I2" s="103"/>
      <c r="J2" s="103"/>
      <c r="K2" s="104"/>
      <c r="L2" s="103"/>
      <c r="M2" s="107"/>
      <c r="N2" s="102"/>
      <c r="O2" s="102"/>
    </row>
    <row r="3" spans="1:18" ht="82.5" customHeight="1" x14ac:dyDescent="0.25">
      <c r="A3" s="134" t="s">
        <v>15</v>
      </c>
      <c r="B3" s="112" t="s">
        <v>28</v>
      </c>
      <c r="C3" s="136">
        <f>6229/16448</f>
        <v>0.37870865758754862</v>
      </c>
      <c r="D3" s="136">
        <f>14869/41087</f>
        <v>0.36189062233796576</v>
      </c>
      <c r="E3" s="136">
        <f>18375/50117</f>
        <v>0.36664205758525054</v>
      </c>
      <c r="F3" s="109">
        <f>18774/54322</f>
        <v>0.34560583189131477</v>
      </c>
      <c r="G3" s="109">
        <v>0.21</v>
      </c>
      <c r="H3" s="110">
        <v>0.16</v>
      </c>
      <c r="I3" s="136">
        <f t="shared" ref="I3:I5" si="0">AVERAGE(E3:G3)</f>
        <v>0.30741596315885511</v>
      </c>
      <c r="J3" s="108">
        <f t="shared" ref="J3:J4" si="1">_xlfn.STDEV.P(E3:G3)</f>
        <v>6.9416775621301038E-2</v>
      </c>
      <c r="K3" s="110">
        <f t="shared" ref="K3:K5" si="2">(I3-J3)</f>
        <v>0.23799918753755406</v>
      </c>
      <c r="L3" s="136">
        <f>(I3+J3)</f>
        <v>0.37683273878015616</v>
      </c>
      <c r="M3" s="111">
        <f>I3+(1.5*J3)</f>
        <v>0.41154112659080666</v>
      </c>
      <c r="N3" s="144" t="s">
        <v>49</v>
      </c>
      <c r="O3" s="144" t="s">
        <v>50</v>
      </c>
    </row>
    <row r="4" spans="1:18" ht="142.5" customHeight="1" x14ac:dyDescent="0.25">
      <c r="A4" s="135" t="s">
        <v>22</v>
      </c>
      <c r="B4" s="112" t="s">
        <v>17</v>
      </c>
      <c r="C4" s="113">
        <v>112</v>
      </c>
      <c r="D4" s="113">
        <v>121</v>
      </c>
      <c r="E4" s="113">
        <v>90</v>
      </c>
      <c r="F4" s="114">
        <v>103</v>
      </c>
      <c r="G4" s="114">
        <v>94</v>
      </c>
      <c r="H4" s="115">
        <v>86</v>
      </c>
      <c r="I4" s="113">
        <f t="shared" si="0"/>
        <v>95.666666666666671</v>
      </c>
      <c r="J4" s="113">
        <f t="shared" si="1"/>
        <v>5.4365021434333638</v>
      </c>
      <c r="K4" s="115">
        <f t="shared" si="2"/>
        <v>90.230164523233313</v>
      </c>
      <c r="L4" s="113">
        <f>(I4+J4)</f>
        <v>101.10316881010003</v>
      </c>
      <c r="M4" s="116">
        <f t="shared" ref="M4" si="3">I4+(1.5*J4)</f>
        <v>103.82141988181672</v>
      </c>
      <c r="N4" s="144" t="s">
        <v>51</v>
      </c>
      <c r="O4" s="144" t="s">
        <v>62</v>
      </c>
      <c r="R4" s="94"/>
    </row>
    <row r="5" spans="1:18" ht="111.75" customHeight="1" x14ac:dyDescent="0.25">
      <c r="A5" s="134" t="s">
        <v>53</v>
      </c>
      <c r="B5" s="112"/>
      <c r="C5" s="138">
        <v>0.96</v>
      </c>
      <c r="D5" s="138">
        <v>0.84</v>
      </c>
      <c r="E5" s="138">
        <v>0.96</v>
      </c>
      <c r="F5" s="119">
        <v>0.84</v>
      </c>
      <c r="G5" s="119">
        <v>0.79</v>
      </c>
      <c r="H5" s="120">
        <v>0.78</v>
      </c>
      <c r="I5" s="141">
        <f t="shared" si="0"/>
        <v>0.86333333333333329</v>
      </c>
      <c r="J5" s="118">
        <f t="shared" ref="J5" si="4">_xlfn.STDEV.P(C5:G5)</f>
        <v>6.9397406291589872E-2</v>
      </c>
      <c r="K5" s="121">
        <f t="shared" si="2"/>
        <v>0.79393592704174343</v>
      </c>
      <c r="L5" s="138">
        <f t="shared" ref="L5" si="5">(I5+J5)</f>
        <v>0.93273073962492314</v>
      </c>
      <c r="M5" s="122">
        <f t="shared" ref="M5" si="6">I5+(1.5*J5)</f>
        <v>0.96742944277071807</v>
      </c>
      <c r="N5" s="144" t="s">
        <v>40</v>
      </c>
      <c r="O5" s="144" t="s">
        <v>63</v>
      </c>
    </row>
    <row r="6" spans="1:18" ht="45" x14ac:dyDescent="0.25">
      <c r="A6" s="134" t="s">
        <v>48</v>
      </c>
      <c r="B6" s="112"/>
      <c r="C6" s="138"/>
      <c r="D6" s="138"/>
      <c r="E6" s="138"/>
      <c r="F6" s="119"/>
      <c r="G6" s="119"/>
      <c r="H6" s="120">
        <v>0.84</v>
      </c>
      <c r="I6" s="141"/>
      <c r="J6" s="118"/>
      <c r="K6" s="121">
        <v>0.88</v>
      </c>
      <c r="L6" s="138"/>
      <c r="M6" s="122"/>
      <c r="N6" s="144" t="s">
        <v>54</v>
      </c>
      <c r="O6" s="144" t="s">
        <v>55</v>
      </c>
    </row>
    <row r="7" spans="1:18" x14ac:dyDescent="0.25">
      <c r="A7" s="146"/>
      <c r="B7" s="146"/>
      <c r="C7" s="146"/>
      <c r="D7" s="146"/>
      <c r="E7" s="146"/>
      <c r="F7" s="146"/>
      <c r="G7" s="146"/>
      <c r="H7" s="146"/>
      <c r="I7" s="146"/>
      <c r="J7" s="146"/>
      <c r="K7" s="146"/>
      <c r="L7" s="146"/>
      <c r="M7" s="146"/>
      <c r="N7" s="147"/>
      <c r="O7" s="147"/>
    </row>
    <row r="8" spans="1:18" ht="18.75" customHeight="1" x14ac:dyDescent="0.25">
      <c r="A8" s="90" t="s">
        <v>37</v>
      </c>
      <c r="B8" s="102" t="s">
        <v>0</v>
      </c>
      <c r="C8" s="103" t="s">
        <v>1</v>
      </c>
      <c r="D8" s="103" t="s">
        <v>2</v>
      </c>
      <c r="E8" s="104" t="s">
        <v>3</v>
      </c>
      <c r="F8" s="97" t="s">
        <v>4</v>
      </c>
      <c r="G8" s="98" t="s">
        <v>5</v>
      </c>
      <c r="H8" s="99" t="s">
        <v>6</v>
      </c>
      <c r="I8" s="103" t="s">
        <v>7</v>
      </c>
      <c r="J8" s="96" t="s">
        <v>8</v>
      </c>
      <c r="K8" s="100" t="s">
        <v>9</v>
      </c>
      <c r="L8" s="103" t="s">
        <v>10</v>
      </c>
      <c r="M8" s="101" t="s">
        <v>11</v>
      </c>
      <c r="N8" s="95" t="s">
        <v>38</v>
      </c>
      <c r="O8" s="95" t="s">
        <v>47</v>
      </c>
    </row>
    <row r="9" spans="1:18" ht="16.5" customHeight="1" x14ac:dyDescent="0.25">
      <c r="A9" s="133" t="s">
        <v>42</v>
      </c>
      <c r="B9" s="132"/>
      <c r="C9" s="132"/>
      <c r="D9" s="132"/>
      <c r="E9" s="132"/>
      <c r="F9" s="92"/>
      <c r="G9" s="92"/>
      <c r="H9" s="92"/>
      <c r="I9" s="132"/>
      <c r="J9" s="92"/>
      <c r="K9" s="92"/>
      <c r="L9" s="132"/>
      <c r="M9" s="92"/>
      <c r="N9" s="144"/>
      <c r="O9" s="144"/>
    </row>
    <row r="10" spans="1:18" ht="109.5" customHeight="1" x14ac:dyDescent="0.25">
      <c r="A10" s="142" t="s">
        <v>18</v>
      </c>
      <c r="B10" s="112" t="s">
        <v>17</v>
      </c>
      <c r="C10" s="113">
        <v>56</v>
      </c>
      <c r="D10" s="139">
        <v>75</v>
      </c>
      <c r="E10" s="139">
        <v>124</v>
      </c>
      <c r="F10" s="114">
        <v>153</v>
      </c>
      <c r="G10" s="124">
        <v>139</v>
      </c>
      <c r="H10" s="125">
        <v>203</v>
      </c>
      <c r="I10" s="137">
        <f t="shared" ref="I10:I15" si="7">AVERAGE(E10:G10)</f>
        <v>138.66666666666666</v>
      </c>
      <c r="J10" s="126">
        <f t="shared" ref="J10:J13" si="8">_xlfn.STDEV.P(E10:G10)</f>
        <v>11.841546445554409</v>
      </c>
      <c r="K10" s="117">
        <f t="shared" ref="K10:K15" si="9">(I10-J10)</f>
        <v>126.82512022111224</v>
      </c>
      <c r="L10" s="137">
        <f t="shared" ref="L10:L15" si="10">(I10+J10)</f>
        <v>150.50821311222106</v>
      </c>
      <c r="M10" s="127">
        <f>I10+(1.5*J10)</f>
        <v>156.42898633499829</v>
      </c>
      <c r="N10" s="144" t="s">
        <v>56</v>
      </c>
      <c r="O10" s="144" t="s">
        <v>45</v>
      </c>
    </row>
    <row r="11" spans="1:18" ht="111.75" customHeight="1" x14ac:dyDescent="0.25">
      <c r="A11" s="142" t="s">
        <v>19</v>
      </c>
      <c r="B11" s="112" t="s">
        <v>17</v>
      </c>
      <c r="C11" s="113">
        <v>100</v>
      </c>
      <c r="D11" s="139">
        <v>123</v>
      </c>
      <c r="E11" s="139">
        <v>185</v>
      </c>
      <c r="F11" s="114">
        <v>213</v>
      </c>
      <c r="G11" s="124">
        <v>220</v>
      </c>
      <c r="H11" s="125">
        <v>275</v>
      </c>
      <c r="I11" s="137">
        <f t="shared" si="7"/>
        <v>206</v>
      </c>
      <c r="J11" s="126">
        <f t="shared" si="8"/>
        <v>15.121728296285006</v>
      </c>
      <c r="K11" s="117">
        <f t="shared" si="9"/>
        <v>190.878271703715</v>
      </c>
      <c r="L11" s="137">
        <f t="shared" si="10"/>
        <v>221.121728296285</v>
      </c>
      <c r="M11" s="127">
        <f t="shared" ref="M11" si="11">I11+(1.5*J11)</f>
        <v>228.68259244442751</v>
      </c>
      <c r="N11" s="144" t="s">
        <v>57</v>
      </c>
      <c r="O11" s="144" t="s">
        <v>46</v>
      </c>
    </row>
    <row r="12" spans="1:18" ht="54" customHeight="1" x14ac:dyDescent="0.25">
      <c r="A12" s="142" t="s">
        <v>24</v>
      </c>
      <c r="B12" s="112" t="s">
        <v>17</v>
      </c>
      <c r="C12" s="113">
        <v>387</v>
      </c>
      <c r="D12" s="113">
        <v>445</v>
      </c>
      <c r="E12" s="113">
        <v>441</v>
      </c>
      <c r="F12" s="114">
        <v>454</v>
      </c>
      <c r="G12" s="114">
        <v>411</v>
      </c>
      <c r="H12" s="128">
        <v>471</v>
      </c>
      <c r="I12" s="113">
        <f t="shared" si="7"/>
        <v>435.33333333333331</v>
      </c>
      <c r="J12" s="123">
        <f t="shared" si="8"/>
        <v>18.006171781426008</v>
      </c>
      <c r="K12" s="116">
        <f t="shared" si="9"/>
        <v>417.3271615519073</v>
      </c>
      <c r="L12" s="113">
        <f t="shared" si="10"/>
        <v>453.33950511475933</v>
      </c>
      <c r="M12" s="128">
        <f>I12+(1.5*J12)</f>
        <v>462.34259100547234</v>
      </c>
      <c r="N12" s="144"/>
      <c r="O12" s="144" t="s">
        <v>44</v>
      </c>
    </row>
    <row r="13" spans="1:18" ht="73.5" customHeight="1" x14ac:dyDescent="0.25">
      <c r="A13" s="142" t="s">
        <v>27</v>
      </c>
      <c r="B13" s="112" t="s">
        <v>28</v>
      </c>
      <c r="C13" s="138">
        <f>172/2908</f>
        <v>5.9147180192572216E-2</v>
      </c>
      <c r="D13" s="138">
        <f>169/2752</f>
        <v>6.1409883720930231E-2</v>
      </c>
      <c r="E13" s="138">
        <f>161/2837</f>
        <v>5.6750088121254844E-2</v>
      </c>
      <c r="F13" s="119">
        <f>209/3152</f>
        <v>6.6307106598984769E-2</v>
      </c>
      <c r="G13" s="119">
        <v>7.0000000000000007E-2</v>
      </c>
      <c r="H13" s="129">
        <v>0.15</v>
      </c>
      <c r="I13" s="138">
        <f t="shared" si="7"/>
        <v>6.4352398240079878E-2</v>
      </c>
      <c r="J13" s="118">
        <f t="shared" si="8"/>
        <v>5.5830520192756902E-3</v>
      </c>
      <c r="K13" s="122">
        <f t="shared" si="9"/>
        <v>5.8769346220804188E-2</v>
      </c>
      <c r="L13" s="138">
        <f t="shared" si="10"/>
        <v>6.9935450259355575E-2</v>
      </c>
      <c r="M13" s="129">
        <f>I13+(1.5*J13)</f>
        <v>7.272697626899341E-2</v>
      </c>
      <c r="N13" s="144" t="s">
        <v>43</v>
      </c>
      <c r="O13" s="144" t="s">
        <v>61</v>
      </c>
    </row>
    <row r="14" spans="1:18" ht="52.5" customHeight="1" x14ac:dyDescent="0.25">
      <c r="A14" s="142" t="s">
        <v>29</v>
      </c>
      <c r="B14" s="112" t="s">
        <v>28</v>
      </c>
      <c r="C14" s="138">
        <f>191/2908</f>
        <v>6.56808803301238E-2</v>
      </c>
      <c r="D14" s="138">
        <f>234/2752</f>
        <v>8.5029069767441859E-2</v>
      </c>
      <c r="E14" s="138">
        <f>264/2837</f>
        <v>9.3056045118082478E-2</v>
      </c>
      <c r="F14" s="119">
        <f>302/3152</f>
        <v>9.5812182741116747E-2</v>
      </c>
      <c r="G14" s="109">
        <v>0.1</v>
      </c>
      <c r="H14" s="130">
        <v>0.23</v>
      </c>
      <c r="I14" s="136">
        <f t="shared" si="7"/>
        <v>9.628940928639973E-2</v>
      </c>
      <c r="J14" s="131">
        <f t="shared" ref="J14:J15" si="12">_xlfn.STDEV.P(C14:G14)</f>
        <v>1.2145186156946581E-2</v>
      </c>
      <c r="K14" s="111">
        <f t="shared" si="9"/>
        <v>8.4144223129453147E-2</v>
      </c>
      <c r="L14" s="136">
        <f t="shared" si="10"/>
        <v>0.10843459544334631</v>
      </c>
      <c r="M14" s="130">
        <f t="shared" ref="M14:M15" si="13">I14+(1.5*J14)</f>
        <v>0.1145071885218196</v>
      </c>
      <c r="N14" s="148" t="s">
        <v>43</v>
      </c>
      <c r="O14" s="144" t="s">
        <v>60</v>
      </c>
    </row>
    <row r="15" spans="1:18" ht="60.75" customHeight="1" x14ac:dyDescent="0.25">
      <c r="A15" s="143" t="s">
        <v>30</v>
      </c>
      <c r="B15" s="112" t="s">
        <v>28</v>
      </c>
      <c r="C15" s="138">
        <f>53/2098</f>
        <v>2.5262154432793137E-2</v>
      </c>
      <c r="D15" s="138">
        <f>61/2752</f>
        <v>2.2165697674418606E-2</v>
      </c>
      <c r="E15" s="138">
        <f>71/2837</f>
        <v>2.5026436376453999E-2</v>
      </c>
      <c r="F15" s="119">
        <f>79/3152</f>
        <v>2.5063451776649745E-2</v>
      </c>
      <c r="G15" s="109">
        <v>0.03</v>
      </c>
      <c r="H15" s="130">
        <v>0.09</v>
      </c>
      <c r="I15" s="138">
        <f t="shared" si="7"/>
        <v>2.6696629384367915E-2</v>
      </c>
      <c r="J15" s="118">
        <f t="shared" si="12"/>
        <v>2.523446707410581E-3</v>
      </c>
      <c r="K15" s="122">
        <f t="shared" si="9"/>
        <v>2.4173182676957335E-2</v>
      </c>
      <c r="L15" s="138">
        <f t="shared" si="10"/>
        <v>2.9220076091778496E-2</v>
      </c>
      <c r="M15" s="129">
        <f t="shared" si="13"/>
        <v>3.0481799445483786E-2</v>
      </c>
      <c r="N15" s="149" t="s">
        <v>43</v>
      </c>
      <c r="O15" s="144" t="s">
        <v>59</v>
      </c>
    </row>
    <row r="17" spans="1:1" x14ac:dyDescent="0.25">
      <c r="A17" s="93" t="s">
        <v>52</v>
      </c>
    </row>
    <row r="18" spans="1:1" x14ac:dyDescent="0.25">
      <c r="A18" s="93" t="s">
        <v>58</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faultSectionNames xmlns="53dc803e-bae0-413c-934a-a9bb759eba5c" xsi:nil="true"/>
    <StudentGroups xmlns="53dc803e-bae0-413c-934a-a9bb759eba5c" xsi:nil="true"/>
    <Owner xmlns="53dc803e-bae0-413c-934a-a9bb759eba5c">
      <UserInfo>
        <DisplayName/>
        <AccountId xsi:nil="true"/>
        <AccountType/>
      </UserInfo>
    </Owner>
    <AppVersion xmlns="53dc803e-bae0-413c-934a-a9bb759eba5c" xsi:nil="true"/>
    <NotebookType xmlns="53dc803e-bae0-413c-934a-a9bb759eba5c" xsi:nil="true"/>
    <Students xmlns="53dc803e-bae0-413c-934a-a9bb759eba5c">
      <UserInfo>
        <DisplayName/>
        <AccountId xsi:nil="true"/>
        <AccountType/>
      </UserInfo>
    </Students>
    <FolderType xmlns="53dc803e-bae0-413c-934a-a9bb759eba5c" xsi:nil="true"/>
    <Teachers xmlns="53dc803e-bae0-413c-934a-a9bb759eba5c">
      <UserInfo>
        <DisplayName/>
        <AccountId xsi:nil="true"/>
        <AccountType/>
      </UserInfo>
    </Teach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EA5BE3E91DA944A7CC30C5DCDB6003" ma:contentTypeVersion="21" ma:contentTypeDescription="Create a new document." ma:contentTypeScope="" ma:versionID="e8607339c62c109c3352f7269a1ce517">
  <xsd:schema xmlns:xsd="http://www.w3.org/2001/XMLSchema" xmlns:xs="http://www.w3.org/2001/XMLSchema" xmlns:p="http://schemas.microsoft.com/office/2006/metadata/properties" xmlns:ns3="608e747a-ec7a-4114-8be8-58346ede73b9" xmlns:ns4="53dc803e-bae0-413c-934a-a9bb759eba5c" targetNamespace="http://schemas.microsoft.com/office/2006/metadata/properties" ma:root="true" ma:fieldsID="3d01d3e1b26371d9aae3618d87e7c650" ns3:_="" ns4:_="">
    <xsd:import namespace="608e747a-ec7a-4114-8be8-58346ede73b9"/>
    <xsd:import namespace="53dc803e-bae0-413c-934a-a9bb759eba5c"/>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Teachers" minOccurs="0"/>
                <xsd:element ref="ns4:Students" minOccurs="0"/>
                <xsd:element ref="ns4:StudentGroups" minOccurs="0"/>
                <xsd:element ref="ns4:DefaultSectionNames" minOccurs="0"/>
                <xsd:element ref="ns4:AppVersion"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8e747a-ec7a-4114-8be8-58346ede73b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c803e-bae0-413c-934a-a9bb759eba5c"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eachers" ma:index="14"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5"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Groups" ma:index="16" nillable="true" ma:displayName="StudentGroups" ma:internalName="StudentGroups">
      <xsd:simpleType>
        <xsd:restriction base="dms:Note">
          <xsd:maxLength value="255"/>
        </xsd:restriction>
      </xsd:simpleType>
    </xsd:element>
    <xsd:element name="DefaultSectionNames" ma:index="17" nillable="true" ma:displayName="Default Section Names" ma:internalName="DefaultSectionNames">
      <xsd:simpleType>
        <xsd:restriction base="dms:Note">
          <xsd:maxLength value="255"/>
        </xsd:restriction>
      </xsd:simpleType>
    </xsd:element>
    <xsd:element name="AppVersion" ma:index="18" nillable="true" ma:displayName="App Version" ma:internalName="AppVersion">
      <xsd:simpleType>
        <xsd:restriction base="dms:Text"/>
      </xsd:simpleType>
    </xsd:element>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AutoTags" ma:index="23" nillable="true" ma:displayName="Tags" ma:internalName="MediaServiceAutoTags"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9F44F9-1F2F-4A98-BB86-635D6CE22FA7}">
  <ds:schemaRefs>
    <ds:schemaRef ds:uri="http://schemas.openxmlformats.org/package/2006/metadata/core-properties"/>
    <ds:schemaRef ds:uri="608e747a-ec7a-4114-8be8-58346ede73b9"/>
    <ds:schemaRef ds:uri="http://purl.org/dc/dcmitype/"/>
    <ds:schemaRef ds:uri="http://schemas.microsoft.com/office/2006/documentManagement/types"/>
    <ds:schemaRef ds:uri="53dc803e-bae0-413c-934a-a9bb759eba5c"/>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B7788E3-004B-4A93-96F5-D2A0F44E0BD9}">
  <ds:schemaRefs>
    <ds:schemaRef ds:uri="http://schemas.microsoft.com/sharepoint/v3/contenttype/forms"/>
  </ds:schemaRefs>
</ds:datastoreItem>
</file>

<file path=customXml/itemProps3.xml><?xml version="1.0" encoding="utf-8"?>
<ds:datastoreItem xmlns:ds="http://schemas.openxmlformats.org/officeDocument/2006/customXml" ds:itemID="{7A0DEBC3-E8AB-4B59-ACFC-6D9D3313CE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8e747a-ec7a-4114-8be8-58346ede73b9"/>
    <ds:schemaRef ds:uri="53dc803e-bae0-413c-934a-a9bb759eb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ISS</vt:lpstr>
      <vt:lpstr>2021 ISS All</vt:lpstr>
      <vt:lpstr>ISS Missed or Exceeded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smith</dc:creator>
  <cp:lastModifiedBy>Huston, Celia J.</cp:lastModifiedBy>
  <dcterms:created xsi:type="dcterms:W3CDTF">2021-04-06T04:05:16Z</dcterms:created>
  <dcterms:modified xsi:type="dcterms:W3CDTF">2021-08-18T02:52:17Z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0x0101007BEA5BE3E91DA944A7CC30C5DCDB6003</vt:lpwstr>
  </property>
</Properties>
</file>